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70" activeTab="4"/>
  </bookViews>
  <sheets>
    <sheet name="Лист3" sheetId="3" r:id="rId1"/>
    <sheet name="Лист4" sheetId="4" r:id="rId2"/>
    <sheet name="Лист2" sheetId="2" r:id="rId3"/>
    <sheet name="Лист1" sheetId="1" r:id="rId4"/>
    <sheet name="Лист5" sheetId="5" r:id="rId5"/>
  </sheets>
  <externalReferences>
    <externalReference r:id="rId6"/>
    <externalReference r:id="rId7"/>
    <externalReference r:id="rId8"/>
    <externalReference r:id="rId9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2" i="5" l="1"/>
  <c r="N92" i="5"/>
  <c r="M92" i="5"/>
  <c r="L92" i="5"/>
  <c r="K92" i="5"/>
  <c r="J92" i="5"/>
  <c r="G92" i="5"/>
  <c r="H92" i="5"/>
  <c r="I92" i="5"/>
  <c r="P92" i="5"/>
  <c r="D92" i="5"/>
  <c r="E92" i="5"/>
  <c r="F92" i="5"/>
  <c r="C92" i="5"/>
  <c r="E8" i="5"/>
  <c r="AE104" i="3" l="1"/>
  <c r="L5" i="4"/>
  <c r="M5" i="4" s="1"/>
  <c r="N5" i="4"/>
  <c r="O5" i="4" s="1"/>
  <c r="K5" i="4"/>
  <c r="J5" i="4"/>
  <c r="I5" i="4"/>
  <c r="M9" i="4" l="1"/>
  <c r="AA104" i="3" l="1"/>
  <c r="X28" i="3"/>
  <c r="V111" i="3" l="1"/>
  <c r="V110" i="3"/>
  <c r="V109" i="3"/>
  <c r="U112" i="3"/>
  <c r="U111" i="3"/>
  <c r="U110" i="3"/>
  <c r="U109" i="3"/>
  <c r="T111" i="3"/>
  <c r="T110" i="3"/>
  <c r="X110" i="3" s="1"/>
  <c r="T109" i="3"/>
  <c r="Z9" i="3"/>
  <c r="X111" i="3" l="1"/>
  <c r="X109" i="3"/>
  <c r="U113" i="3"/>
  <c r="T112" i="3"/>
  <c r="T113" i="3" s="1"/>
  <c r="AC8" i="3"/>
  <c r="AD8" i="3" l="1"/>
  <c r="S29" i="3"/>
  <c r="S26" i="3"/>
  <c r="AF26" i="3"/>
  <c r="AD26" i="3"/>
  <c r="AC26" i="3"/>
  <c r="AB26" i="3"/>
  <c r="Z26" i="3"/>
  <c r="AF27" i="3"/>
  <c r="AD27" i="3"/>
  <c r="AC27" i="3"/>
  <c r="Z27" i="3"/>
  <c r="AB27" i="3"/>
  <c r="V28" i="3"/>
  <c r="AA28" i="3"/>
  <c r="AG26" i="3" l="1"/>
  <c r="AE26" i="3"/>
  <c r="AE27" i="3"/>
  <c r="AG27" i="3"/>
  <c r="AB40" i="3"/>
  <c r="AB39" i="3"/>
  <c r="AA16" i="3" l="1"/>
  <c r="Y16" i="3"/>
  <c r="X16" i="3"/>
  <c r="T16" i="3"/>
  <c r="AB16" i="3" l="1"/>
  <c r="Z16" i="3"/>
  <c r="X105" i="3"/>
  <c r="AF98" i="3"/>
  <c r="AF97" i="3"/>
  <c r="AD97" i="3"/>
  <c r="AF96" i="3"/>
  <c r="AD96" i="3"/>
  <c r="AF95" i="3"/>
  <c r="AD95" i="3"/>
  <c r="AC95" i="3"/>
  <c r="AF94" i="3"/>
  <c r="AD94" i="3"/>
  <c r="AC94" i="3"/>
  <c r="AF93" i="3"/>
  <c r="AD93" i="3"/>
  <c r="AC93" i="3"/>
  <c r="AF92" i="3"/>
  <c r="AD92" i="3"/>
  <c r="AF91" i="3"/>
  <c r="AD91" i="3"/>
  <c r="AF90" i="3"/>
  <c r="AD90" i="3"/>
  <c r="AF89" i="3"/>
  <c r="AF88" i="3"/>
  <c r="AD88" i="3"/>
  <c r="AC88" i="3"/>
  <c r="AF86" i="3"/>
  <c r="AD86" i="3"/>
  <c r="AC86" i="3"/>
  <c r="AF85" i="3"/>
  <c r="AD85" i="3"/>
  <c r="AC85" i="3"/>
  <c r="AF84" i="3"/>
  <c r="AD84" i="3"/>
  <c r="AF82" i="3"/>
  <c r="AD82" i="3"/>
  <c r="AC82" i="3"/>
  <c r="AF81" i="3"/>
  <c r="AD81" i="3"/>
  <c r="AE81" i="3" s="1"/>
  <c r="AC81" i="3"/>
  <c r="AF80" i="3"/>
  <c r="AD80" i="3"/>
  <c r="AF79" i="3"/>
  <c r="AF83" i="3" s="1"/>
  <c r="AD79" i="3"/>
  <c r="AC79" i="3"/>
  <c r="AF77" i="3"/>
  <c r="AD77" i="3"/>
  <c r="AC77" i="3"/>
  <c r="AF76" i="3"/>
  <c r="AD76" i="3"/>
  <c r="AF75" i="3"/>
  <c r="AD75" i="3"/>
  <c r="AC75" i="3"/>
  <c r="AF74" i="3"/>
  <c r="AD74" i="3"/>
  <c r="AC74" i="3"/>
  <c r="AF73" i="3"/>
  <c r="AD73" i="3"/>
  <c r="AC73" i="3"/>
  <c r="AF72" i="3"/>
  <c r="AD72" i="3"/>
  <c r="AF70" i="3"/>
  <c r="AD70" i="3"/>
  <c r="AF69" i="3"/>
  <c r="AD69" i="3"/>
  <c r="AF68" i="3"/>
  <c r="AD68" i="3"/>
  <c r="AF66" i="3"/>
  <c r="AD66" i="3"/>
  <c r="AF65" i="3"/>
  <c r="AD65" i="3"/>
  <c r="AF64" i="3"/>
  <c r="AD64" i="3"/>
  <c r="AF63" i="3"/>
  <c r="AD63" i="3"/>
  <c r="AF62" i="3"/>
  <c r="AD62" i="3"/>
  <c r="AF60" i="3"/>
  <c r="AF59" i="3"/>
  <c r="AF57" i="3"/>
  <c r="AD57" i="3"/>
  <c r="AF56" i="3"/>
  <c r="AD56" i="3"/>
  <c r="AF55" i="3"/>
  <c r="AD55" i="3"/>
  <c r="AC55" i="3"/>
  <c r="AF54" i="3"/>
  <c r="AD54" i="3"/>
  <c r="AF53" i="3"/>
  <c r="AD53" i="3"/>
  <c r="AF52" i="3"/>
  <c r="AD52" i="3"/>
  <c r="AC52" i="3"/>
  <c r="AF51" i="3"/>
  <c r="AD51" i="3"/>
  <c r="AC51" i="3"/>
  <c r="AF50" i="3"/>
  <c r="AD50" i="3"/>
  <c r="AF49" i="3"/>
  <c r="AD49" i="3"/>
  <c r="AF48" i="3"/>
  <c r="AD48" i="3"/>
  <c r="AF47" i="3"/>
  <c r="AD47" i="3"/>
  <c r="AF46" i="3"/>
  <c r="AD46" i="3"/>
  <c r="AF44" i="3"/>
  <c r="AF45" i="3" s="1"/>
  <c r="AD44" i="3"/>
  <c r="AF43" i="3"/>
  <c r="AF40" i="3"/>
  <c r="AD40" i="3"/>
  <c r="AF39" i="3"/>
  <c r="AD39" i="3"/>
  <c r="AF38" i="3"/>
  <c r="AF37" i="3"/>
  <c r="AD37" i="3"/>
  <c r="AF36" i="3"/>
  <c r="AD36" i="3"/>
  <c r="AF35" i="3"/>
  <c r="AD35" i="3"/>
  <c r="AF34" i="3"/>
  <c r="AD34" i="3"/>
  <c r="AF33" i="3"/>
  <c r="AD33" i="3"/>
  <c r="AF32" i="3"/>
  <c r="AD32" i="3"/>
  <c r="AF31" i="3"/>
  <c r="AD31" i="3"/>
  <c r="AF30" i="3"/>
  <c r="AD30" i="3"/>
  <c r="AF25" i="3"/>
  <c r="AD25" i="3"/>
  <c r="AF24" i="3"/>
  <c r="AD24" i="3"/>
  <c r="AF23" i="3"/>
  <c r="AD23" i="3"/>
  <c r="AF22" i="3"/>
  <c r="AD22" i="3"/>
  <c r="AC22" i="3"/>
  <c r="AF21" i="3"/>
  <c r="AD21" i="3"/>
  <c r="AF20" i="3"/>
  <c r="AD20" i="3"/>
  <c r="AF19" i="3"/>
  <c r="AD19" i="3"/>
  <c r="AF18" i="3"/>
  <c r="AD18" i="3"/>
  <c r="AF17" i="3"/>
  <c r="AD17" i="3"/>
  <c r="AF15" i="3"/>
  <c r="AD15" i="3"/>
  <c r="AC15" i="3"/>
  <c r="AD14" i="3"/>
  <c r="AF13" i="3"/>
  <c r="AD13" i="3"/>
  <c r="AC13" i="3"/>
  <c r="AD12" i="3"/>
  <c r="AF9" i="3"/>
  <c r="AD7" i="3"/>
  <c r="AF6" i="3"/>
  <c r="AD6" i="3"/>
  <c r="AF5" i="3"/>
  <c r="AD5" i="3"/>
  <c r="AC5" i="3"/>
  <c r="AD4" i="3"/>
  <c r="AB102" i="3"/>
  <c r="AB101" i="3"/>
  <c r="Z102" i="3"/>
  <c r="Z101" i="3"/>
  <c r="AA103" i="3"/>
  <c r="Y103" i="3"/>
  <c r="X103" i="3"/>
  <c r="AB98" i="3"/>
  <c r="AB93" i="3"/>
  <c r="AB90" i="3"/>
  <c r="AB89" i="3"/>
  <c r="Z98" i="3"/>
  <c r="Z93" i="3"/>
  <c r="Z90" i="3"/>
  <c r="Z89" i="3"/>
  <c r="AA99" i="3"/>
  <c r="Y99" i="3"/>
  <c r="Z99" i="3" s="1"/>
  <c r="X99" i="3"/>
  <c r="AA87" i="3"/>
  <c r="Y87" i="3"/>
  <c r="X87" i="3"/>
  <c r="AB81" i="3"/>
  <c r="Z81" i="3"/>
  <c r="AA83" i="3"/>
  <c r="Y83" i="3"/>
  <c r="X83" i="3"/>
  <c r="AA78" i="3"/>
  <c r="Y78" i="3"/>
  <c r="X78" i="3"/>
  <c r="AB70" i="3"/>
  <c r="AB69" i="3"/>
  <c r="AB68" i="3"/>
  <c r="Z70" i="3"/>
  <c r="Z69" i="3"/>
  <c r="Z68" i="3"/>
  <c r="AA71" i="3"/>
  <c r="Y71" i="3"/>
  <c r="X71" i="3"/>
  <c r="AB66" i="3"/>
  <c r="AB62" i="3"/>
  <c r="Z66" i="3"/>
  <c r="Z62" i="3"/>
  <c r="AA67" i="3"/>
  <c r="Y67" i="3"/>
  <c r="X67" i="3"/>
  <c r="AB60" i="3"/>
  <c r="AB59" i="3"/>
  <c r="Z60" i="3"/>
  <c r="Z59" i="3"/>
  <c r="AA61" i="3"/>
  <c r="Y61" i="3"/>
  <c r="Z61" i="3" s="1"/>
  <c r="X61" i="3"/>
  <c r="AB56" i="3"/>
  <c r="AB54" i="3"/>
  <c r="AB53" i="3"/>
  <c r="AB48" i="3"/>
  <c r="AB47" i="3"/>
  <c r="AB46" i="3"/>
  <c r="Z56" i="3"/>
  <c r="Z54" i="3"/>
  <c r="Z53" i="3"/>
  <c r="Z48" i="3"/>
  <c r="Z47" i="3"/>
  <c r="Z46" i="3"/>
  <c r="AA58" i="3"/>
  <c r="Y58" i="3"/>
  <c r="X58" i="3"/>
  <c r="AB43" i="3"/>
  <c r="Z43" i="3"/>
  <c r="AA45" i="3"/>
  <c r="Y45" i="3"/>
  <c r="AB38" i="3"/>
  <c r="AB36" i="3"/>
  <c r="AB35" i="3"/>
  <c r="AB34" i="3"/>
  <c r="AB33" i="3"/>
  <c r="AB32" i="3"/>
  <c r="AB31" i="3"/>
  <c r="AB30" i="3"/>
  <c r="AB29" i="3"/>
  <c r="Z38" i="3"/>
  <c r="Z36" i="3"/>
  <c r="Z35" i="3"/>
  <c r="Z34" i="3"/>
  <c r="Z33" i="3"/>
  <c r="Z32" i="3"/>
  <c r="Z31" i="3"/>
  <c r="Z30" i="3"/>
  <c r="Z29" i="3"/>
  <c r="AA41" i="3"/>
  <c r="Y41" i="3"/>
  <c r="Z41" i="3" s="1"/>
  <c r="X41" i="3"/>
  <c r="AB25" i="3"/>
  <c r="AB24" i="3"/>
  <c r="AB23" i="3"/>
  <c r="AB21" i="3"/>
  <c r="AB20" i="3"/>
  <c r="AB19" i="3"/>
  <c r="AB18" i="3"/>
  <c r="AB17" i="3"/>
  <c r="AB14" i="3"/>
  <c r="Z25" i="3"/>
  <c r="Z24" i="3"/>
  <c r="Z23" i="3"/>
  <c r="Z21" i="3"/>
  <c r="Z20" i="3"/>
  <c r="Z19" i="3"/>
  <c r="Z18" i="3"/>
  <c r="Z17" i="3"/>
  <c r="Z14" i="3"/>
  <c r="Z12" i="3"/>
  <c r="AB12" i="3"/>
  <c r="Y28" i="3"/>
  <c r="AB7" i="3"/>
  <c r="Z7" i="3"/>
  <c r="AB10" i="3"/>
  <c r="Z10" i="3"/>
  <c r="AA11" i="3"/>
  <c r="Y11" i="3"/>
  <c r="Z11" i="3" s="1"/>
  <c r="X11" i="3"/>
  <c r="V99" i="3"/>
  <c r="V87" i="3"/>
  <c r="T87" i="3"/>
  <c r="V83" i="3"/>
  <c r="T83" i="3"/>
  <c r="V78" i="3"/>
  <c r="T78" i="3"/>
  <c r="V71" i="3"/>
  <c r="T71" i="3"/>
  <c r="V67" i="3"/>
  <c r="T67" i="3"/>
  <c r="V61" i="3"/>
  <c r="V58" i="3"/>
  <c r="T58" i="3"/>
  <c r="V45" i="3"/>
  <c r="T28" i="3"/>
  <c r="V102" i="3"/>
  <c r="V101" i="3"/>
  <c r="T102" i="3"/>
  <c r="S102" i="3"/>
  <c r="T101" i="3"/>
  <c r="AD101" i="3" s="1"/>
  <c r="S101" i="3"/>
  <c r="AC101" i="3" s="1"/>
  <c r="T98" i="3"/>
  <c r="S98" i="3"/>
  <c r="AC98" i="3" s="1"/>
  <c r="S97" i="3"/>
  <c r="AC97" i="3" s="1"/>
  <c r="S96" i="3"/>
  <c r="U96" i="3" s="1"/>
  <c r="S92" i="3"/>
  <c r="S91" i="3"/>
  <c r="W91" i="3" s="1"/>
  <c r="S90" i="3"/>
  <c r="AC90" i="3" s="1"/>
  <c r="T89" i="3"/>
  <c r="S89" i="3"/>
  <c r="S84" i="3"/>
  <c r="W84" i="3" s="1"/>
  <c r="S80" i="3"/>
  <c r="U80" i="3" s="1"/>
  <c r="S76" i="3"/>
  <c r="W76" i="3" s="1"/>
  <c r="S72" i="3"/>
  <c r="W72" i="3" s="1"/>
  <c r="S70" i="3"/>
  <c r="S69" i="3"/>
  <c r="S68" i="3"/>
  <c r="W68" i="3" s="1"/>
  <c r="S66" i="3"/>
  <c r="AC66" i="3" s="1"/>
  <c r="S65" i="3"/>
  <c r="W65" i="3" s="1"/>
  <c r="S64" i="3"/>
  <c r="S63" i="3"/>
  <c r="U63" i="3" s="1"/>
  <c r="S62" i="3"/>
  <c r="AC62" i="3" s="1"/>
  <c r="T60" i="3"/>
  <c r="T59" i="3"/>
  <c r="AD59" i="3" s="1"/>
  <c r="S60" i="3"/>
  <c r="W60" i="3" s="1"/>
  <c r="S59" i="3"/>
  <c r="W59" i="3" s="1"/>
  <c r="S57" i="3"/>
  <c r="AC57" i="3" s="1"/>
  <c r="S56" i="3"/>
  <c r="W56" i="3" s="1"/>
  <c r="S54" i="3"/>
  <c r="S53" i="3"/>
  <c r="U53" i="3" s="1"/>
  <c r="S50" i="3"/>
  <c r="AC50" i="3" s="1"/>
  <c r="AG50" i="3" s="1"/>
  <c r="S49" i="3"/>
  <c r="W49" i="3" s="1"/>
  <c r="S48" i="3"/>
  <c r="S47" i="3"/>
  <c r="W47" i="3" s="1"/>
  <c r="S46" i="3"/>
  <c r="AC46" i="3" s="1"/>
  <c r="AG46" i="3" s="1"/>
  <c r="S44" i="3"/>
  <c r="T43" i="3"/>
  <c r="S43" i="3"/>
  <c r="W43" i="3" s="1"/>
  <c r="S40" i="3"/>
  <c r="V29" i="3"/>
  <c r="S39" i="3"/>
  <c r="U39" i="3" s="1"/>
  <c r="T38" i="3"/>
  <c r="S38" i="3"/>
  <c r="AC38" i="3" s="1"/>
  <c r="S37" i="3"/>
  <c r="S36" i="3"/>
  <c r="S35" i="3"/>
  <c r="U35" i="3" s="1"/>
  <c r="S34" i="3"/>
  <c r="AC34" i="3" s="1"/>
  <c r="S33" i="3"/>
  <c r="U33" i="3" s="1"/>
  <c r="S32" i="3"/>
  <c r="S31" i="3"/>
  <c r="S30" i="3"/>
  <c r="W30" i="3" s="1"/>
  <c r="T29" i="3"/>
  <c r="AD29" i="3" s="1"/>
  <c r="S25" i="3"/>
  <c r="AC25" i="3" s="1"/>
  <c r="S24" i="3"/>
  <c r="AC24" i="3" s="1"/>
  <c r="S23" i="3"/>
  <c r="AC23" i="3" s="1"/>
  <c r="S21" i="3"/>
  <c r="AC21" i="3" s="1"/>
  <c r="S20" i="3"/>
  <c r="AC20" i="3" s="1"/>
  <c r="S19" i="3"/>
  <c r="AC19" i="3" s="1"/>
  <c r="AE19" i="3" s="1"/>
  <c r="S18" i="3"/>
  <c r="AC18" i="3" s="1"/>
  <c r="S17" i="3"/>
  <c r="V14" i="3"/>
  <c r="AF14" i="3" s="1"/>
  <c r="S14" i="3"/>
  <c r="AC14" i="3" s="1"/>
  <c r="V12" i="3"/>
  <c r="S12" i="3"/>
  <c r="Z67" i="3" l="1"/>
  <c r="Z103" i="3"/>
  <c r="W25" i="3"/>
  <c r="AB67" i="3"/>
  <c r="AB83" i="3"/>
  <c r="AD83" i="3"/>
  <c r="W14" i="3"/>
  <c r="W34" i="3"/>
  <c r="W50" i="3"/>
  <c r="W19" i="3"/>
  <c r="W35" i="3"/>
  <c r="AC43" i="3"/>
  <c r="AG43" i="3" s="1"/>
  <c r="AD41" i="3"/>
  <c r="W102" i="3"/>
  <c r="W24" i="3"/>
  <c r="U38" i="3"/>
  <c r="U57" i="3"/>
  <c r="S87" i="3"/>
  <c r="W87" i="3" s="1"/>
  <c r="Z83" i="3"/>
  <c r="AG20" i="3"/>
  <c r="AC30" i="3"/>
  <c r="AE30" i="3" s="1"/>
  <c r="U46" i="3"/>
  <c r="U62" i="3"/>
  <c r="AC17" i="3"/>
  <c r="S28" i="3"/>
  <c r="AG21" i="3"/>
  <c r="T99" i="3"/>
  <c r="U99" i="3" s="1"/>
  <c r="W20" i="3"/>
  <c r="U30" i="3"/>
  <c r="W62" i="3"/>
  <c r="U68" i="3"/>
  <c r="AF28" i="3"/>
  <c r="W64" i="3"/>
  <c r="AC64" i="3"/>
  <c r="AE64" i="3" s="1"/>
  <c r="U64" i="3"/>
  <c r="U23" i="3"/>
  <c r="AF78" i="3"/>
  <c r="AF102" i="3"/>
  <c r="AC40" i="3"/>
  <c r="AG40" i="3" s="1"/>
  <c r="U40" i="3"/>
  <c r="W40" i="3"/>
  <c r="T61" i="3"/>
  <c r="U61" i="3" s="1"/>
  <c r="U60" i="3"/>
  <c r="U65" i="3"/>
  <c r="AC65" i="3"/>
  <c r="AG65" i="3" s="1"/>
  <c r="U70" i="3"/>
  <c r="AC70" i="3"/>
  <c r="AG70" i="3" s="1"/>
  <c r="W70" i="3"/>
  <c r="U84" i="3"/>
  <c r="AC84" i="3"/>
  <c r="AC87" i="3" s="1"/>
  <c r="AC91" i="3"/>
  <c r="AE91" i="3" s="1"/>
  <c r="U91" i="3"/>
  <c r="AC102" i="3"/>
  <c r="AG102" i="3" s="1"/>
  <c r="S103" i="3"/>
  <c r="U12" i="3"/>
  <c r="U19" i="3"/>
  <c r="U24" i="3"/>
  <c r="W17" i="3"/>
  <c r="W21" i="3"/>
  <c r="W38" i="3"/>
  <c r="S45" i="3"/>
  <c r="W45" i="3" s="1"/>
  <c r="S58" i="3"/>
  <c r="U58" i="3" s="1"/>
  <c r="U47" i="3"/>
  <c r="W46" i="3"/>
  <c r="W57" i="3"/>
  <c r="S67" i="3"/>
  <c r="U67" i="3" s="1"/>
  <c r="W66" i="3"/>
  <c r="U97" i="3"/>
  <c r="W98" i="3"/>
  <c r="AD58" i="3"/>
  <c r="AC59" i="3"/>
  <c r="AE59" i="3" s="1"/>
  <c r="AE62" i="3"/>
  <c r="AD67" i="3"/>
  <c r="AE93" i="3"/>
  <c r="V16" i="3"/>
  <c r="AF12" i="3"/>
  <c r="AF16" i="3" s="1"/>
  <c r="AC69" i="3"/>
  <c r="AE69" i="3" s="1"/>
  <c r="U69" i="3"/>
  <c r="AC80" i="3"/>
  <c r="AC83" i="3" s="1"/>
  <c r="W80" i="3"/>
  <c r="S83" i="3"/>
  <c r="U83" i="3" s="1"/>
  <c r="U18" i="3"/>
  <c r="S99" i="3"/>
  <c r="W99" i="3" s="1"/>
  <c r="W97" i="3"/>
  <c r="T41" i="3"/>
  <c r="U41" i="3" s="1"/>
  <c r="AD89" i="3"/>
  <c r="AG97" i="3"/>
  <c r="AC31" i="3"/>
  <c r="AE31" i="3" s="1"/>
  <c r="U31" i="3"/>
  <c r="AC53" i="3"/>
  <c r="AG53" i="3" s="1"/>
  <c r="W53" i="3"/>
  <c r="S78" i="3"/>
  <c r="U78" i="3" s="1"/>
  <c r="U72" i="3"/>
  <c r="AC72" i="3"/>
  <c r="AC89" i="3"/>
  <c r="AG89" i="3" s="1"/>
  <c r="W89" i="3"/>
  <c r="U92" i="3"/>
  <c r="W92" i="3"/>
  <c r="AC92" i="3"/>
  <c r="AD98" i="3"/>
  <c r="AE98" i="3" s="1"/>
  <c r="U98" i="3"/>
  <c r="AD102" i="3"/>
  <c r="AD103" i="3" s="1"/>
  <c r="T103" i="3"/>
  <c r="U103" i="3" s="1"/>
  <c r="U102" i="3"/>
  <c r="U14" i="3"/>
  <c r="U20" i="3"/>
  <c r="U25" i="3"/>
  <c r="W18" i="3"/>
  <c r="W23" i="3"/>
  <c r="U34" i="3"/>
  <c r="W31" i="3"/>
  <c r="W39" i="3"/>
  <c r="U50" i="3"/>
  <c r="U66" i="3"/>
  <c r="W69" i="3"/>
  <c r="U89" i="3"/>
  <c r="W90" i="3"/>
  <c r="V103" i="3"/>
  <c r="W103" i="3" s="1"/>
  <c r="AE23" i="3"/>
  <c r="AF58" i="3"/>
  <c r="AE90" i="3"/>
  <c r="W33" i="3"/>
  <c r="AC33" i="3"/>
  <c r="AG33" i="3" s="1"/>
  <c r="W37" i="3"/>
  <c r="AC37" i="3"/>
  <c r="AG37" i="3" s="1"/>
  <c r="AF29" i="3"/>
  <c r="AF41" i="3" s="1"/>
  <c r="W29" i="3"/>
  <c r="AC44" i="3"/>
  <c r="W44" i="3"/>
  <c r="U44" i="3"/>
  <c r="U49" i="3"/>
  <c r="AC49" i="3"/>
  <c r="AC56" i="3"/>
  <c r="AE56" i="3" s="1"/>
  <c r="U56" i="3"/>
  <c r="S16" i="3"/>
  <c r="U16" i="3" s="1"/>
  <c r="AC12" i="3"/>
  <c r="AC16" i="3" s="1"/>
  <c r="S41" i="3"/>
  <c r="S42" i="3" s="1"/>
  <c r="AC29" i="3"/>
  <c r="AG29" i="3" s="1"/>
  <c r="AC32" i="3"/>
  <c r="AE32" i="3" s="1"/>
  <c r="U32" i="3"/>
  <c r="W32" i="3"/>
  <c r="AC36" i="3"/>
  <c r="AG36" i="3" s="1"/>
  <c r="U36" i="3"/>
  <c r="W36" i="3"/>
  <c r="T45" i="3"/>
  <c r="AD43" i="3"/>
  <c r="AD45" i="3" s="1"/>
  <c r="AC48" i="3"/>
  <c r="AG48" i="3" s="1"/>
  <c r="W48" i="3"/>
  <c r="U48" i="3"/>
  <c r="W54" i="3"/>
  <c r="U54" i="3"/>
  <c r="AC54" i="3"/>
  <c r="AG54" i="3" s="1"/>
  <c r="AC60" i="3"/>
  <c r="S61" i="3"/>
  <c r="W61" i="3" s="1"/>
  <c r="AC63" i="3"/>
  <c r="AE63" i="3" s="1"/>
  <c r="W63" i="3"/>
  <c r="AC68" i="3"/>
  <c r="AG68" i="3" s="1"/>
  <c r="S71" i="3"/>
  <c r="U71" i="3" s="1"/>
  <c r="U76" i="3"/>
  <c r="AC76" i="3"/>
  <c r="AE76" i="3" s="1"/>
  <c r="W96" i="3"/>
  <c r="AC96" i="3"/>
  <c r="AG96" i="3" s="1"/>
  <c r="W101" i="3"/>
  <c r="AF101" i="3"/>
  <c r="U17" i="3"/>
  <c r="U21" i="3"/>
  <c r="W12" i="3"/>
  <c r="U37" i="3"/>
  <c r="V41" i="3"/>
  <c r="U43" i="3"/>
  <c r="U59" i="3"/>
  <c r="W67" i="3"/>
  <c r="U90" i="3"/>
  <c r="U101" i="3"/>
  <c r="U29" i="3"/>
  <c r="AG25" i="3"/>
  <c r="AC35" i="3"/>
  <c r="AE35" i="3" s="1"/>
  <c r="AC39" i="3"/>
  <c r="AE39" i="3" s="1"/>
  <c r="AC47" i="3"/>
  <c r="AG47" i="3" s="1"/>
  <c r="AE57" i="3"/>
  <c r="AD60" i="3"/>
  <c r="AD61" i="3" s="1"/>
  <c r="AE80" i="3"/>
  <c r="AF99" i="3"/>
  <c r="AE97" i="3"/>
  <c r="AG32" i="3"/>
  <c r="AG57" i="3"/>
  <c r="AG62" i="3"/>
  <c r="AG80" i="3"/>
  <c r="AG90" i="3"/>
  <c r="AA42" i="3"/>
  <c r="AB71" i="3"/>
  <c r="AB99" i="3"/>
  <c r="AD16" i="3"/>
  <c r="AD28" i="3" s="1"/>
  <c r="AE21" i="3"/>
  <c r="AG23" i="3"/>
  <c r="AE50" i="3"/>
  <c r="AG56" i="3"/>
  <c r="AF61" i="3"/>
  <c r="AE66" i="3"/>
  <c r="AF67" i="3"/>
  <c r="AD78" i="3"/>
  <c r="AG81" i="3"/>
  <c r="AD87" i="3"/>
  <c r="AE87" i="3" s="1"/>
  <c r="AE92" i="3"/>
  <c r="AB41" i="3"/>
  <c r="AB45" i="3"/>
  <c r="AE20" i="3"/>
  <c r="AE25" i="3"/>
  <c r="AG38" i="3"/>
  <c r="AG66" i="3"/>
  <c r="AD71" i="3"/>
  <c r="AF87" i="3"/>
  <c r="AG87" i="3" s="1"/>
  <c r="AG92" i="3"/>
  <c r="AG93" i="3"/>
  <c r="AG98" i="3"/>
  <c r="AG19" i="3"/>
  <c r="AE18" i="3"/>
  <c r="AG18" i="3"/>
  <c r="AB11" i="3"/>
  <c r="AB103" i="3"/>
  <c r="AB61" i="3"/>
  <c r="Z45" i="3"/>
  <c r="AE101" i="3"/>
  <c r="AE68" i="3"/>
  <c r="Z71" i="3"/>
  <c r="AB58" i="3"/>
  <c r="Z58" i="3"/>
  <c r="Y42" i="3"/>
  <c r="Z42" i="3" s="1"/>
  <c r="AE38" i="3"/>
  <c r="AE36" i="3"/>
  <c r="AE34" i="3"/>
  <c r="AG34" i="3"/>
  <c r="X42" i="3"/>
  <c r="AG24" i="3"/>
  <c r="AE24" i="3"/>
  <c r="AE14" i="3"/>
  <c r="AG14" i="3"/>
  <c r="AB28" i="3"/>
  <c r="Z28" i="3"/>
  <c r="AF71" i="3"/>
  <c r="AE70" i="3"/>
  <c r="AE46" i="3"/>
  <c r="S7" i="3"/>
  <c r="S8" i="3"/>
  <c r="V10" i="3"/>
  <c r="T10" i="3"/>
  <c r="S10" i="3"/>
  <c r="AC10" i="3" s="1"/>
  <c r="V7" i="3"/>
  <c r="S6" i="3"/>
  <c r="S4" i="3"/>
  <c r="T9" i="3"/>
  <c r="S9" i="3"/>
  <c r="V8" i="3"/>
  <c r="T8" i="3"/>
  <c r="V4" i="3"/>
  <c r="F100" i="3"/>
  <c r="H100" i="3"/>
  <c r="Y105" i="3"/>
  <c r="Y104" i="3" l="1"/>
  <c r="Z104" i="3" s="1"/>
  <c r="AG59" i="3"/>
  <c r="AE102" i="3"/>
  <c r="AD42" i="3"/>
  <c r="AG30" i="3"/>
  <c r="W41" i="3"/>
  <c r="AE47" i="3"/>
  <c r="AG69" i="3"/>
  <c r="AC103" i="3"/>
  <c r="AE65" i="3"/>
  <c r="AE41" i="3"/>
  <c r="AC41" i="3"/>
  <c r="AG41" i="3" s="1"/>
  <c r="W78" i="3"/>
  <c r="AE60" i="3"/>
  <c r="AE54" i="3"/>
  <c r="U45" i="3"/>
  <c r="AG17" i="3"/>
  <c r="AC28" i="3"/>
  <c r="AG28" i="3" s="1"/>
  <c r="AE29" i="3"/>
  <c r="AE17" i="3"/>
  <c r="AC61" i="3"/>
  <c r="AG61" i="3" s="1"/>
  <c r="W71" i="3"/>
  <c r="AG91" i="3"/>
  <c r="AE96" i="3"/>
  <c r="AG84" i="3"/>
  <c r="AE84" i="3"/>
  <c r="AG39" i="3"/>
  <c r="AE42" i="3"/>
  <c r="W58" i="3"/>
  <c r="AG60" i="3"/>
  <c r="AE61" i="3"/>
  <c r="V42" i="3"/>
  <c r="W42" i="3" s="1"/>
  <c r="AF103" i="3"/>
  <c r="AC58" i="3"/>
  <c r="AE58" i="3" s="1"/>
  <c r="AC45" i="3"/>
  <c r="AE45" i="3" s="1"/>
  <c r="AE40" i="3"/>
  <c r="AE37" i="3"/>
  <c r="AG31" i="3"/>
  <c r="AC67" i="3"/>
  <c r="AE67" i="3" s="1"/>
  <c r="T42" i="3"/>
  <c r="U42" i="3" s="1"/>
  <c r="AE103" i="3"/>
  <c r="AE89" i="3"/>
  <c r="U87" i="3"/>
  <c r="AE43" i="3"/>
  <c r="AG16" i="3"/>
  <c r="AE16" i="3"/>
  <c r="AG83" i="3"/>
  <c r="AE83" i="3"/>
  <c r="AF8" i="3"/>
  <c r="AG8" i="3" s="1"/>
  <c r="W8" i="3"/>
  <c r="AC6" i="3"/>
  <c r="U6" i="3"/>
  <c r="W6" i="3"/>
  <c r="AF10" i="3"/>
  <c r="AG10" i="3" s="1"/>
  <c r="W10" i="3"/>
  <c r="AE44" i="3"/>
  <c r="AC78" i="3"/>
  <c r="AE78" i="3" s="1"/>
  <c r="AG12" i="3"/>
  <c r="AG49" i="3"/>
  <c r="AC9" i="3"/>
  <c r="AC11" i="3" s="1"/>
  <c r="W9" i="3"/>
  <c r="AF7" i="3"/>
  <c r="W7" i="3"/>
  <c r="AE53" i="3"/>
  <c r="AE12" i="3"/>
  <c r="AG76" i="3"/>
  <c r="AE72" i="3"/>
  <c r="W16" i="3"/>
  <c r="AG72" i="3"/>
  <c r="AF4" i="3"/>
  <c r="V11" i="3"/>
  <c r="W4" i="3"/>
  <c r="U9" i="3"/>
  <c r="AD9" i="3"/>
  <c r="AC7" i="3"/>
  <c r="AE7" i="3" s="1"/>
  <c r="U7" i="3"/>
  <c r="W28" i="3"/>
  <c r="AE33" i="3"/>
  <c r="AG35" i="3"/>
  <c r="AG101" i="3"/>
  <c r="AE49" i="3"/>
  <c r="AG44" i="3"/>
  <c r="AG64" i="3"/>
  <c r="AG63" i="3"/>
  <c r="AF42" i="3"/>
  <c r="AD99" i="3"/>
  <c r="AE99" i="3" s="1"/>
  <c r="AE8" i="3"/>
  <c r="T11" i="3"/>
  <c r="U11" i="3" s="1"/>
  <c r="U8" i="3"/>
  <c r="AC4" i="3"/>
  <c r="S11" i="3"/>
  <c r="U4" i="3"/>
  <c r="AD10" i="3"/>
  <c r="U10" i="3"/>
  <c r="AB42" i="3"/>
  <c r="AE48" i="3"/>
  <c r="AC71" i="3"/>
  <c r="AG71" i="3" s="1"/>
  <c r="U28" i="3"/>
  <c r="W83" i="3"/>
  <c r="AC99" i="3"/>
  <c r="AG99" i="3" s="1"/>
  <c r="AG58" i="3"/>
  <c r="X104" i="3"/>
  <c r="Z105" i="3"/>
  <c r="AB104" i="3" l="1"/>
  <c r="AG67" i="3"/>
  <c r="AG103" i="3"/>
  <c r="AG45" i="3"/>
  <c r="AC42" i="3"/>
  <c r="AG42" i="3" s="1"/>
  <c r="AG78" i="3"/>
  <c r="AE9" i="3"/>
  <c r="AE28" i="3"/>
  <c r="AF11" i="3"/>
  <c r="AG7" i="3"/>
  <c r="AE71" i="3"/>
  <c r="AE4" i="3"/>
  <c r="AG11" i="3"/>
  <c r="AD11" i="3"/>
  <c r="AE11" i="3" s="1"/>
  <c r="AE10" i="3"/>
  <c r="W11" i="3"/>
  <c r="AE6" i="3"/>
  <c r="AG6" i="3"/>
  <c r="AG4" i="3"/>
  <c r="AC105" i="3"/>
  <c r="AG9" i="3"/>
  <c r="Q104" i="3"/>
  <c r="O104" i="3"/>
  <c r="N104" i="3"/>
  <c r="L104" i="3"/>
  <c r="J104" i="3"/>
  <c r="I104" i="3"/>
  <c r="G104" i="3"/>
  <c r="E104" i="3"/>
  <c r="D104" i="3"/>
  <c r="R102" i="3"/>
  <c r="P102" i="3"/>
  <c r="M102" i="3"/>
  <c r="K102" i="3"/>
  <c r="H102" i="3"/>
  <c r="F102" i="3"/>
  <c r="R101" i="3"/>
  <c r="P101" i="3"/>
  <c r="M101" i="3"/>
  <c r="K101" i="3"/>
  <c r="H101" i="3"/>
  <c r="F101" i="3"/>
  <c r="R98" i="3"/>
  <c r="P98" i="3"/>
  <c r="M98" i="3"/>
  <c r="K98" i="3"/>
  <c r="H98" i="3"/>
  <c r="F98" i="3"/>
  <c r="R97" i="3"/>
  <c r="P97" i="3"/>
  <c r="M97" i="3"/>
  <c r="K97" i="3"/>
  <c r="H97" i="3"/>
  <c r="F97" i="3"/>
  <c r="R96" i="3"/>
  <c r="P96" i="3"/>
  <c r="M96" i="3"/>
  <c r="K96" i="3"/>
  <c r="R93" i="3"/>
  <c r="P93" i="3"/>
  <c r="M93" i="3"/>
  <c r="K93" i="3"/>
  <c r="H93" i="3"/>
  <c r="F93" i="3"/>
  <c r="M91" i="3"/>
  <c r="K91" i="3"/>
  <c r="H91" i="3"/>
  <c r="F91" i="3"/>
  <c r="R90" i="3"/>
  <c r="P90" i="3"/>
  <c r="M90" i="3"/>
  <c r="K90" i="3"/>
  <c r="H90" i="3"/>
  <c r="F90" i="3"/>
  <c r="R89" i="3"/>
  <c r="P89" i="3"/>
  <c r="M89" i="3"/>
  <c r="K89" i="3"/>
  <c r="H89" i="3"/>
  <c r="F89" i="3"/>
  <c r="R84" i="3"/>
  <c r="P84" i="3"/>
  <c r="M84" i="3"/>
  <c r="K84" i="3"/>
  <c r="H84" i="3"/>
  <c r="F84" i="3"/>
  <c r="R81" i="3"/>
  <c r="P81" i="3"/>
  <c r="M81" i="3"/>
  <c r="K81" i="3"/>
  <c r="H81" i="3"/>
  <c r="F81" i="3"/>
  <c r="R80" i="3"/>
  <c r="P80" i="3"/>
  <c r="R76" i="3"/>
  <c r="P76" i="3"/>
  <c r="R72" i="3"/>
  <c r="P72" i="3"/>
  <c r="M72" i="3"/>
  <c r="K72" i="3"/>
  <c r="H72" i="3"/>
  <c r="F72" i="3"/>
  <c r="R70" i="3"/>
  <c r="P70" i="3"/>
  <c r="M70" i="3"/>
  <c r="K70" i="3"/>
  <c r="H70" i="3"/>
  <c r="F70" i="3"/>
  <c r="R69" i="3"/>
  <c r="P69" i="3"/>
  <c r="M69" i="3"/>
  <c r="K69" i="3"/>
  <c r="H69" i="3"/>
  <c r="F69" i="3"/>
  <c r="R68" i="3"/>
  <c r="P68" i="3"/>
  <c r="M68" i="3"/>
  <c r="K68" i="3"/>
  <c r="H68" i="3"/>
  <c r="F68" i="3"/>
  <c r="R66" i="3"/>
  <c r="P66" i="3"/>
  <c r="M66" i="3"/>
  <c r="K66" i="3"/>
  <c r="H66" i="3"/>
  <c r="F66" i="3"/>
  <c r="R65" i="3"/>
  <c r="P65" i="3"/>
  <c r="H64" i="3"/>
  <c r="F64" i="3"/>
  <c r="H63" i="3"/>
  <c r="F63" i="3"/>
  <c r="R62" i="3"/>
  <c r="P62" i="3"/>
  <c r="M62" i="3"/>
  <c r="K62" i="3"/>
  <c r="H62" i="3"/>
  <c r="F62" i="3"/>
  <c r="R60" i="3"/>
  <c r="P60" i="3"/>
  <c r="M60" i="3"/>
  <c r="K60" i="3"/>
  <c r="H60" i="3"/>
  <c r="F60" i="3"/>
  <c r="R59" i="3"/>
  <c r="P59" i="3"/>
  <c r="M59" i="3"/>
  <c r="K59" i="3"/>
  <c r="H59" i="3"/>
  <c r="F59" i="3"/>
  <c r="R57" i="3"/>
  <c r="P57" i="3"/>
  <c r="H57" i="3"/>
  <c r="F57" i="3"/>
  <c r="R56" i="3"/>
  <c r="P56" i="3"/>
  <c r="M56" i="3"/>
  <c r="K56" i="3"/>
  <c r="H56" i="3"/>
  <c r="F56" i="3"/>
  <c r="R54" i="3"/>
  <c r="P54" i="3"/>
  <c r="M54" i="3"/>
  <c r="K54" i="3"/>
  <c r="H54" i="3"/>
  <c r="F54" i="3"/>
  <c r="R53" i="3"/>
  <c r="P53" i="3"/>
  <c r="M53" i="3"/>
  <c r="K53" i="3"/>
  <c r="H53" i="3"/>
  <c r="F53" i="3"/>
  <c r="R50" i="3"/>
  <c r="P50" i="3"/>
  <c r="M50" i="3"/>
  <c r="K50" i="3"/>
  <c r="H50" i="3"/>
  <c r="F50" i="3"/>
  <c r="R49" i="3"/>
  <c r="P49" i="3"/>
  <c r="R48" i="3"/>
  <c r="P48" i="3"/>
  <c r="M48" i="3"/>
  <c r="K48" i="3"/>
  <c r="H48" i="3"/>
  <c r="F48" i="3"/>
  <c r="R47" i="3"/>
  <c r="P47" i="3"/>
  <c r="M47" i="3"/>
  <c r="K47" i="3"/>
  <c r="H47" i="3"/>
  <c r="F47" i="3"/>
  <c r="R46" i="3"/>
  <c r="P46" i="3"/>
  <c r="M46" i="3"/>
  <c r="K46" i="3"/>
  <c r="H46" i="3"/>
  <c r="F46" i="3"/>
  <c r="R25" i="3"/>
  <c r="P25" i="3"/>
  <c r="M25" i="3"/>
  <c r="K25" i="3"/>
  <c r="H25" i="3"/>
  <c r="F25" i="3"/>
  <c r="R24" i="3"/>
  <c r="P24" i="3"/>
  <c r="M24" i="3"/>
  <c r="K24" i="3"/>
  <c r="H24" i="3"/>
  <c r="F24" i="3"/>
  <c r="R23" i="3"/>
  <c r="P23" i="3"/>
  <c r="M23" i="3"/>
  <c r="K23" i="3"/>
  <c r="H23" i="3"/>
  <c r="F23" i="3"/>
  <c r="R21" i="3"/>
  <c r="P21" i="3"/>
  <c r="M21" i="3"/>
  <c r="K21" i="3"/>
  <c r="H21" i="3"/>
  <c r="F21" i="3"/>
  <c r="R20" i="3"/>
  <c r="P20" i="3"/>
  <c r="M20" i="3"/>
  <c r="K20" i="3"/>
  <c r="H20" i="3"/>
  <c r="F20" i="3"/>
  <c r="R19" i="3"/>
  <c r="P19" i="3"/>
  <c r="M19" i="3"/>
  <c r="K19" i="3"/>
  <c r="H19" i="3"/>
  <c r="F19" i="3"/>
  <c r="R18" i="3"/>
  <c r="P18" i="3"/>
  <c r="M18" i="3"/>
  <c r="K18" i="3"/>
  <c r="H18" i="3"/>
  <c r="F18" i="3"/>
  <c r="R17" i="3"/>
  <c r="P17" i="3"/>
  <c r="M17" i="3"/>
  <c r="K17" i="3"/>
  <c r="H17" i="3"/>
  <c r="F17" i="3"/>
  <c r="R44" i="3"/>
  <c r="P44" i="3"/>
  <c r="M44" i="3"/>
  <c r="K44" i="3"/>
  <c r="R43" i="3"/>
  <c r="P43" i="3"/>
  <c r="M43" i="3"/>
  <c r="K43" i="3"/>
  <c r="H43" i="3"/>
  <c r="F43" i="3"/>
  <c r="R40" i="3"/>
  <c r="P40" i="3"/>
  <c r="M40" i="3"/>
  <c r="K40" i="3"/>
  <c r="R39" i="3"/>
  <c r="P39" i="3"/>
  <c r="M39" i="3"/>
  <c r="K39" i="3"/>
  <c r="H39" i="3"/>
  <c r="F39" i="3"/>
  <c r="R38" i="3"/>
  <c r="P38" i="3"/>
  <c r="M38" i="3"/>
  <c r="K38" i="3"/>
  <c r="H38" i="3"/>
  <c r="F38" i="3"/>
  <c r="R37" i="3"/>
  <c r="P37" i="3"/>
  <c r="H37" i="3"/>
  <c r="F37" i="3"/>
  <c r="R36" i="3"/>
  <c r="P36" i="3"/>
  <c r="M36" i="3"/>
  <c r="K36" i="3"/>
  <c r="H36" i="3"/>
  <c r="F36" i="3"/>
  <c r="R35" i="3"/>
  <c r="P35" i="3"/>
  <c r="M35" i="3"/>
  <c r="K35" i="3"/>
  <c r="H35" i="3"/>
  <c r="F35" i="3"/>
  <c r="R34" i="3"/>
  <c r="P34" i="3"/>
  <c r="M34" i="3"/>
  <c r="K34" i="3"/>
  <c r="H34" i="3"/>
  <c r="F34" i="3"/>
  <c r="R33" i="3"/>
  <c r="P33" i="3"/>
  <c r="M33" i="3"/>
  <c r="K33" i="3"/>
  <c r="H33" i="3"/>
  <c r="F33" i="3"/>
  <c r="R32" i="3"/>
  <c r="P32" i="3"/>
  <c r="M32" i="3"/>
  <c r="K32" i="3"/>
  <c r="H32" i="3"/>
  <c r="F32" i="3"/>
  <c r="R31" i="3"/>
  <c r="P31" i="3"/>
  <c r="M31" i="3"/>
  <c r="K31" i="3"/>
  <c r="H31" i="3"/>
  <c r="F31" i="3"/>
  <c r="R30" i="3"/>
  <c r="P30" i="3"/>
  <c r="M30" i="3"/>
  <c r="K30" i="3"/>
  <c r="H30" i="3"/>
  <c r="F30" i="3"/>
  <c r="R29" i="3"/>
  <c r="P29" i="3"/>
  <c r="M29" i="3"/>
  <c r="K29" i="3"/>
  <c r="H29" i="3"/>
  <c r="F29" i="3"/>
  <c r="R14" i="3"/>
  <c r="P14" i="3"/>
  <c r="M14" i="3"/>
  <c r="K14" i="3"/>
  <c r="H14" i="3"/>
  <c r="F14" i="3"/>
  <c r="R12" i="3"/>
  <c r="P12" i="3"/>
  <c r="M12" i="3"/>
  <c r="K12" i="3"/>
  <c r="H12" i="3"/>
  <c r="F12" i="3"/>
  <c r="R10" i="3"/>
  <c r="P10" i="3"/>
  <c r="M10" i="3"/>
  <c r="K10" i="3"/>
  <c r="H10" i="3"/>
  <c r="F10" i="3"/>
  <c r="M9" i="3"/>
  <c r="K9" i="3"/>
  <c r="R8" i="3"/>
  <c r="P8" i="3"/>
  <c r="M8" i="3"/>
  <c r="K8" i="3"/>
  <c r="H8" i="3"/>
  <c r="F8" i="3"/>
  <c r="R7" i="3"/>
  <c r="P7" i="3"/>
  <c r="M7" i="3"/>
  <c r="K7" i="3"/>
  <c r="H7" i="3"/>
  <c r="F7" i="3"/>
  <c r="R6" i="3"/>
  <c r="P6" i="3"/>
  <c r="M6" i="3"/>
  <c r="K6" i="3"/>
  <c r="R4" i="3"/>
  <c r="P4" i="3"/>
  <c r="M4" i="3"/>
  <c r="K4" i="3"/>
  <c r="H4" i="3"/>
  <c r="F4" i="3"/>
  <c r="AC57" i="2"/>
  <c r="AD57" i="2"/>
  <c r="AE57" i="2" s="1"/>
  <c r="AF57" i="2"/>
  <c r="AG57" i="2"/>
  <c r="AB57" i="2"/>
  <c r="Z57" i="2"/>
  <c r="W57" i="2"/>
  <c r="U57" i="2"/>
  <c r="R57" i="2"/>
  <c r="P57" i="2"/>
  <c r="M57" i="2"/>
  <c r="K57" i="2"/>
  <c r="H57" i="2"/>
  <c r="F57" i="2"/>
  <c r="AA88" i="2"/>
  <c r="Y88" i="2"/>
  <c r="X88" i="2"/>
  <c r="F75" i="2"/>
  <c r="H75" i="2"/>
  <c r="K75" i="2"/>
  <c r="M75" i="2"/>
  <c r="P75" i="2"/>
  <c r="R75" i="2"/>
  <c r="S75" i="2"/>
  <c r="T75" i="2"/>
  <c r="U75" i="2" s="1"/>
  <c r="V75" i="2"/>
  <c r="Z75" i="2"/>
  <c r="AB75" i="2"/>
  <c r="AC75" i="2"/>
  <c r="W75" i="2" l="1"/>
  <c r="H104" i="3"/>
  <c r="R104" i="3"/>
  <c r="M104" i="3"/>
  <c r="T105" i="3"/>
  <c r="S105" i="3"/>
  <c r="AF75" i="2"/>
  <c r="AG75" i="2" s="1"/>
  <c r="AD75" i="2"/>
  <c r="AE75" i="2" s="1"/>
  <c r="F39" i="2"/>
  <c r="H39" i="2"/>
  <c r="K39" i="2"/>
  <c r="M39" i="2"/>
  <c r="P39" i="2"/>
  <c r="R39" i="2"/>
  <c r="S39" i="2"/>
  <c r="AC39" i="2" s="1"/>
  <c r="T39" i="2"/>
  <c r="V39" i="2"/>
  <c r="Z39" i="2"/>
  <c r="AB39" i="2"/>
  <c r="AD39" i="2"/>
  <c r="F24" i="2"/>
  <c r="H24" i="2"/>
  <c r="K24" i="2"/>
  <c r="M24" i="2"/>
  <c r="P24" i="2"/>
  <c r="R24" i="2"/>
  <c r="S24" i="2"/>
  <c r="AC24" i="2" s="1"/>
  <c r="T24" i="2"/>
  <c r="V24" i="2"/>
  <c r="AF24" i="2" s="1"/>
  <c r="Z24" i="2"/>
  <c r="AB24" i="2"/>
  <c r="AD24" i="2"/>
  <c r="F27" i="2"/>
  <c r="H27" i="2"/>
  <c r="K27" i="2"/>
  <c r="M27" i="2"/>
  <c r="P27" i="2"/>
  <c r="R27" i="2"/>
  <c r="S27" i="2"/>
  <c r="AC27" i="2" s="1"/>
  <c r="T27" i="2"/>
  <c r="V27" i="2"/>
  <c r="AF27" i="2" s="1"/>
  <c r="Z27" i="2"/>
  <c r="AB27" i="2"/>
  <c r="Y89" i="2"/>
  <c r="X89" i="2"/>
  <c r="S29" i="2"/>
  <c r="AC29" i="2" s="1"/>
  <c r="T29" i="2"/>
  <c r="AD29" i="2" s="1"/>
  <c r="V29" i="2"/>
  <c r="AF29" i="2" s="1"/>
  <c r="AG29" i="2" s="1"/>
  <c r="S16" i="2"/>
  <c r="AC16" i="2" s="1"/>
  <c r="T16" i="2"/>
  <c r="V16" i="2"/>
  <c r="S51" i="2"/>
  <c r="AC51" i="2" s="1"/>
  <c r="T51" i="2"/>
  <c r="AD51" i="2" s="1"/>
  <c r="V51" i="2"/>
  <c r="S40" i="2"/>
  <c r="AC40" i="2" s="1"/>
  <c r="T40" i="2"/>
  <c r="V40" i="2"/>
  <c r="S53" i="2"/>
  <c r="AC53" i="2" s="1"/>
  <c r="T53" i="2"/>
  <c r="V53" i="2"/>
  <c r="S54" i="2"/>
  <c r="AC54" i="2" s="1"/>
  <c r="T54" i="2"/>
  <c r="V54" i="2"/>
  <c r="S17" i="2"/>
  <c r="AC17" i="2" s="1"/>
  <c r="T17" i="2"/>
  <c r="AD17" i="2" s="1"/>
  <c r="V17" i="2"/>
  <c r="AF17" i="2" s="1"/>
  <c r="S41" i="2"/>
  <c r="AC41" i="2" s="1"/>
  <c r="T41" i="2"/>
  <c r="V41" i="2"/>
  <c r="S30" i="2"/>
  <c r="AC30" i="2" s="1"/>
  <c r="T30" i="2"/>
  <c r="AD30" i="2" s="1"/>
  <c r="V30" i="2"/>
  <c r="AF30" i="2" s="1"/>
  <c r="AG30" i="2" s="1"/>
  <c r="S55" i="2"/>
  <c r="AC55" i="2" s="1"/>
  <c r="T55" i="2"/>
  <c r="V55" i="2"/>
  <c r="S42" i="2"/>
  <c r="AC42" i="2" s="1"/>
  <c r="T42" i="2"/>
  <c r="AD42" i="2" s="1"/>
  <c r="V42" i="2"/>
  <c r="AF42" i="2" s="1"/>
  <c r="S58" i="2"/>
  <c r="AC58" i="2" s="1"/>
  <c r="T58" i="2"/>
  <c r="V58" i="2"/>
  <c r="S18" i="2"/>
  <c r="AC18" i="2" s="1"/>
  <c r="T18" i="2"/>
  <c r="AD18" i="2" s="1"/>
  <c r="V18" i="2"/>
  <c r="AF18" i="2" s="1"/>
  <c r="AG18" i="2" s="1"/>
  <c r="S31" i="2"/>
  <c r="AC31" i="2" s="1"/>
  <c r="T31" i="2"/>
  <c r="V31" i="2"/>
  <c r="S61" i="2"/>
  <c r="AC61" i="2" s="1"/>
  <c r="T61" i="2"/>
  <c r="AD61" i="2" s="1"/>
  <c r="V61" i="2"/>
  <c r="AF61" i="2" s="1"/>
  <c r="AG61" i="2" s="1"/>
  <c r="S32" i="2"/>
  <c r="AC32" i="2" s="1"/>
  <c r="T32" i="2"/>
  <c r="V32" i="2"/>
  <c r="S67" i="2"/>
  <c r="AC67" i="2" s="1"/>
  <c r="T67" i="2"/>
  <c r="AD67" i="2" s="1"/>
  <c r="V67" i="2"/>
  <c r="AF67" i="2" s="1"/>
  <c r="S19" i="2"/>
  <c r="AC19" i="2" s="1"/>
  <c r="T19" i="2"/>
  <c r="V19" i="2"/>
  <c r="S43" i="2"/>
  <c r="AC43" i="2" s="1"/>
  <c r="T43" i="2"/>
  <c r="AD43" i="2" s="1"/>
  <c r="V43" i="2"/>
  <c r="AF43" i="2" s="1"/>
  <c r="AG43" i="2" s="1"/>
  <c r="S36" i="2"/>
  <c r="AC36" i="2" s="1"/>
  <c r="T36" i="2"/>
  <c r="V36" i="2"/>
  <c r="S20" i="2"/>
  <c r="AC20" i="2" s="1"/>
  <c r="T20" i="2"/>
  <c r="AD20" i="2" s="1"/>
  <c r="V20" i="2"/>
  <c r="AF20" i="2" s="1"/>
  <c r="S62" i="2"/>
  <c r="AC62" i="2" s="1"/>
  <c r="T62" i="2"/>
  <c r="AD62" i="2" s="1"/>
  <c r="V62" i="2"/>
  <c r="AF62" i="2" s="1"/>
  <c r="S68" i="2"/>
  <c r="AC68" i="2" s="1"/>
  <c r="T68" i="2"/>
  <c r="AD68" i="2" s="1"/>
  <c r="V68" i="2"/>
  <c r="AF68" i="2" s="1"/>
  <c r="AG68" i="2" s="1"/>
  <c r="S33" i="2"/>
  <c r="AC33" i="2" s="1"/>
  <c r="T33" i="2"/>
  <c r="V33" i="2"/>
  <c r="S59" i="2"/>
  <c r="AC59" i="2" s="1"/>
  <c r="T59" i="2"/>
  <c r="AD59" i="2" s="1"/>
  <c r="V59" i="2"/>
  <c r="AF59" i="2" s="1"/>
  <c r="S74" i="2"/>
  <c r="AC74" i="2" s="1"/>
  <c r="T74" i="2"/>
  <c r="AD74" i="2" s="1"/>
  <c r="V74" i="2"/>
  <c r="AF74" i="2" s="1"/>
  <c r="S45" i="2"/>
  <c r="AC45" i="2" s="1"/>
  <c r="T45" i="2"/>
  <c r="AD45" i="2" s="1"/>
  <c r="V45" i="2"/>
  <c r="AF45" i="2" s="1"/>
  <c r="S21" i="2"/>
  <c r="AC21" i="2" s="1"/>
  <c r="T21" i="2"/>
  <c r="V21" i="2"/>
  <c r="S63" i="2"/>
  <c r="AC63" i="2" s="1"/>
  <c r="T63" i="2"/>
  <c r="AD63" i="2" s="1"/>
  <c r="V63" i="2"/>
  <c r="AF63" i="2" s="1"/>
  <c r="S44" i="2"/>
  <c r="AC44" i="2" s="1"/>
  <c r="T44" i="2"/>
  <c r="AD44" i="2" s="1"/>
  <c r="V44" i="2"/>
  <c r="AF44" i="2" s="1"/>
  <c r="S69" i="2"/>
  <c r="AC69" i="2" s="1"/>
  <c r="T69" i="2"/>
  <c r="AD69" i="2" s="1"/>
  <c r="V69" i="2"/>
  <c r="AF69" i="2" s="1"/>
  <c r="AG69" i="2" s="1"/>
  <c r="S34" i="2"/>
  <c r="AC34" i="2" s="1"/>
  <c r="T34" i="2"/>
  <c r="AD34" i="2" s="1"/>
  <c r="V34" i="2"/>
  <c r="AF34" i="2" s="1"/>
  <c r="S46" i="2"/>
  <c r="AC46" i="2" s="1"/>
  <c r="T46" i="2"/>
  <c r="AD46" i="2" s="1"/>
  <c r="V46" i="2"/>
  <c r="AF46" i="2" s="1"/>
  <c r="S47" i="2"/>
  <c r="AC47" i="2" s="1"/>
  <c r="T47" i="2"/>
  <c r="V47" i="2"/>
  <c r="S37" i="2"/>
  <c r="AC37" i="2" s="1"/>
  <c r="T37" i="2"/>
  <c r="AD37" i="2" s="1"/>
  <c r="V37" i="2"/>
  <c r="AF37" i="2" s="1"/>
  <c r="S26" i="2"/>
  <c r="AC26" i="2" s="1"/>
  <c r="T26" i="2"/>
  <c r="V26" i="2"/>
  <c r="S60" i="2"/>
  <c r="AC60" i="2" s="1"/>
  <c r="T60" i="2"/>
  <c r="AD60" i="2" s="1"/>
  <c r="V60" i="2"/>
  <c r="AF60" i="2" s="1"/>
  <c r="S64" i="2"/>
  <c r="AC64" i="2" s="1"/>
  <c r="T64" i="2"/>
  <c r="AD64" i="2" s="1"/>
  <c r="V64" i="2"/>
  <c r="AF64" i="2" s="1"/>
  <c r="S48" i="2"/>
  <c r="AC48" i="2" s="1"/>
  <c r="T48" i="2"/>
  <c r="AD48" i="2" s="1"/>
  <c r="V48" i="2"/>
  <c r="AF48" i="2" s="1"/>
  <c r="S71" i="2"/>
  <c r="AC71" i="2" s="1"/>
  <c r="T71" i="2"/>
  <c r="V71" i="2"/>
  <c r="S49" i="2"/>
  <c r="AC49" i="2" s="1"/>
  <c r="T49" i="2"/>
  <c r="AD49" i="2" s="1"/>
  <c r="V49" i="2"/>
  <c r="AF49" i="2" s="1"/>
  <c r="S50" i="2"/>
  <c r="AC50" i="2" s="1"/>
  <c r="T50" i="2"/>
  <c r="V50" i="2"/>
  <c r="S22" i="2"/>
  <c r="AC22" i="2" s="1"/>
  <c r="T22" i="2"/>
  <c r="AD22" i="2" s="1"/>
  <c r="V22" i="2"/>
  <c r="AF22" i="2" s="1"/>
  <c r="AG22" i="2" s="1"/>
  <c r="S35" i="2"/>
  <c r="AC35" i="2" s="1"/>
  <c r="T35" i="2"/>
  <c r="AD35" i="2" s="1"/>
  <c r="V35" i="2"/>
  <c r="AF35" i="2" s="1"/>
  <c r="S52" i="2"/>
  <c r="AC52" i="2" s="1"/>
  <c r="T52" i="2"/>
  <c r="AD52" i="2" s="1"/>
  <c r="V52" i="2"/>
  <c r="AF52" i="2" s="1"/>
  <c r="S23" i="2"/>
  <c r="AC23" i="2" s="1"/>
  <c r="T23" i="2"/>
  <c r="V23" i="2"/>
  <c r="S65" i="2"/>
  <c r="AC65" i="2" s="1"/>
  <c r="T65" i="2"/>
  <c r="V65" i="2"/>
  <c r="S72" i="2"/>
  <c r="AC72" i="2" s="1"/>
  <c r="T72" i="2"/>
  <c r="AD72" i="2" s="1"/>
  <c r="V72" i="2"/>
  <c r="AF72" i="2" s="1"/>
  <c r="S73" i="2"/>
  <c r="AC73" i="2" s="1"/>
  <c r="T73" i="2"/>
  <c r="AD73" i="2" s="1"/>
  <c r="V73" i="2"/>
  <c r="AF73" i="2" s="1"/>
  <c r="S38" i="2"/>
  <c r="AC38" i="2" s="1"/>
  <c r="T38" i="2"/>
  <c r="AD38" i="2" s="1"/>
  <c r="V38" i="2"/>
  <c r="AF38" i="2" s="1"/>
  <c r="AG38" i="2" s="1"/>
  <c r="S28" i="2"/>
  <c r="AC28" i="2" s="1"/>
  <c r="T28" i="2"/>
  <c r="V28" i="2"/>
  <c r="S25" i="2"/>
  <c r="AC25" i="2" s="1"/>
  <c r="T25" i="2"/>
  <c r="AD25" i="2" s="1"/>
  <c r="V25" i="2"/>
  <c r="AF25" i="2" s="1"/>
  <c r="S56" i="2"/>
  <c r="AC56" i="2" s="1"/>
  <c r="T56" i="2"/>
  <c r="V56" i="2"/>
  <c r="S66" i="2"/>
  <c r="AC66" i="2" s="1"/>
  <c r="T66" i="2"/>
  <c r="AD66" i="2" s="1"/>
  <c r="V66" i="2"/>
  <c r="AF66" i="2" s="1"/>
  <c r="S76" i="2"/>
  <c r="AC76" i="2" s="1"/>
  <c r="T76" i="2"/>
  <c r="AD76" i="2" s="1"/>
  <c r="V76" i="2"/>
  <c r="AF76" i="2" s="1"/>
  <c r="AG76" i="2" s="1"/>
  <c r="S77" i="2"/>
  <c r="AC77" i="2" s="1"/>
  <c r="T77" i="2"/>
  <c r="V77" i="2"/>
  <c r="S78" i="2"/>
  <c r="AC78" i="2" s="1"/>
  <c r="T78" i="2"/>
  <c r="AD78" i="2" s="1"/>
  <c r="V78" i="2"/>
  <c r="AF78" i="2" s="1"/>
  <c r="S79" i="2"/>
  <c r="AC79" i="2" s="1"/>
  <c r="T79" i="2"/>
  <c r="V79" i="2"/>
  <c r="S80" i="2"/>
  <c r="AC80" i="2" s="1"/>
  <c r="T80" i="2"/>
  <c r="AD80" i="2" s="1"/>
  <c r="V80" i="2"/>
  <c r="AF80" i="2" s="1"/>
  <c r="S81" i="2"/>
  <c r="AC81" i="2" s="1"/>
  <c r="T81" i="2"/>
  <c r="AD81" i="2" s="1"/>
  <c r="V81" i="2"/>
  <c r="AF81" i="2" s="1"/>
  <c r="S82" i="2"/>
  <c r="AC82" i="2" s="1"/>
  <c r="T82" i="2"/>
  <c r="AD82" i="2" s="1"/>
  <c r="V82" i="2"/>
  <c r="AF82" i="2" s="1"/>
  <c r="AG82" i="2" s="1"/>
  <c r="S83" i="2"/>
  <c r="AC83" i="2" s="1"/>
  <c r="T83" i="2"/>
  <c r="V83" i="2"/>
  <c r="S84" i="2"/>
  <c r="AC84" i="2" s="1"/>
  <c r="T84" i="2"/>
  <c r="AD84" i="2" s="1"/>
  <c r="V84" i="2"/>
  <c r="AF84" i="2" s="1"/>
  <c r="AG84" i="2" s="1"/>
  <c r="S85" i="2"/>
  <c r="AC85" i="2" s="1"/>
  <c r="T85" i="2"/>
  <c r="V85" i="2"/>
  <c r="S86" i="2"/>
  <c r="AC86" i="2" s="1"/>
  <c r="T86" i="2"/>
  <c r="AD86" i="2" s="1"/>
  <c r="V86" i="2"/>
  <c r="AF86" i="2" s="1"/>
  <c r="AG86" i="2" s="1"/>
  <c r="S87" i="2"/>
  <c r="AC87" i="2" s="1"/>
  <c r="T87" i="2"/>
  <c r="V87" i="2"/>
  <c r="S11" i="2"/>
  <c r="AC11" i="2" s="1"/>
  <c r="T11" i="2"/>
  <c r="AD11" i="2" s="1"/>
  <c r="V11" i="2"/>
  <c r="AF11" i="2" s="1"/>
  <c r="AG11" i="2" s="1"/>
  <c r="S12" i="2"/>
  <c r="AC12" i="2" s="1"/>
  <c r="T12" i="2"/>
  <c r="AD12" i="2" s="1"/>
  <c r="V12" i="2"/>
  <c r="AF12" i="2" s="1"/>
  <c r="S13" i="2"/>
  <c r="AC13" i="2" s="1"/>
  <c r="T13" i="2"/>
  <c r="AD13" i="2" s="1"/>
  <c r="V13" i="2"/>
  <c r="AF13" i="2" s="1"/>
  <c r="S14" i="2"/>
  <c r="AC14" i="2" s="1"/>
  <c r="T14" i="2"/>
  <c r="AD14" i="2" s="1"/>
  <c r="V14" i="2"/>
  <c r="AF14" i="2" s="1"/>
  <c r="S4" i="2"/>
  <c r="T4" i="2"/>
  <c r="V4" i="2"/>
  <c r="S5" i="2"/>
  <c r="AC5" i="2" s="1"/>
  <c r="T5" i="2"/>
  <c r="AD5" i="2" s="1"/>
  <c r="V5" i="2"/>
  <c r="AF5" i="2" s="1"/>
  <c r="S6" i="2"/>
  <c r="AC6" i="2" s="1"/>
  <c r="T6" i="2"/>
  <c r="AD6" i="2" s="1"/>
  <c r="V6" i="2"/>
  <c r="AF6" i="2" s="1"/>
  <c r="S7" i="2"/>
  <c r="AC7" i="2" s="1"/>
  <c r="T7" i="2"/>
  <c r="V7" i="2"/>
  <c r="S8" i="2"/>
  <c r="AC8" i="2" s="1"/>
  <c r="T8" i="2"/>
  <c r="AD8" i="2" s="1"/>
  <c r="V8" i="2"/>
  <c r="AF8" i="2" s="1"/>
  <c r="S9" i="2"/>
  <c r="AC9" i="2" s="1"/>
  <c r="T9" i="2"/>
  <c r="V9" i="2"/>
  <c r="S10" i="2"/>
  <c r="T10" i="2"/>
  <c r="V10" i="2"/>
  <c r="AF10" i="2" s="1"/>
  <c r="S70" i="2"/>
  <c r="AC70" i="2" s="1"/>
  <c r="T70" i="2"/>
  <c r="AD70" i="2" s="1"/>
  <c r="V70" i="2"/>
  <c r="AF70" i="2" s="1"/>
  <c r="AG52" i="2" l="1"/>
  <c r="AG49" i="2"/>
  <c r="AG60" i="2"/>
  <c r="AG46" i="2"/>
  <c r="AG59" i="2"/>
  <c r="AG20" i="2"/>
  <c r="S104" i="3"/>
  <c r="AG42" i="2"/>
  <c r="AG17" i="2"/>
  <c r="AG25" i="2"/>
  <c r="AG24" i="2"/>
  <c r="W39" i="2"/>
  <c r="T104" i="3"/>
  <c r="U104" i="3" s="1"/>
  <c r="V104" i="3"/>
  <c r="AD105" i="3"/>
  <c r="U105" i="3"/>
  <c r="AF4" i="2"/>
  <c r="AG4" i="2" s="1"/>
  <c r="AC4" i="2"/>
  <c r="AD4" i="2"/>
  <c r="AE4" i="2" s="1"/>
  <c r="AG6" i="2"/>
  <c r="AG13" i="2"/>
  <c r="AG80" i="2"/>
  <c r="U39" i="2"/>
  <c r="AF39" i="2"/>
  <c r="AG37" i="2"/>
  <c r="AG39" i="2"/>
  <c r="AE39" i="2"/>
  <c r="U27" i="2"/>
  <c r="U24" i="2"/>
  <c r="AG27" i="2"/>
  <c r="AD27" i="2"/>
  <c r="AG8" i="2"/>
  <c r="AE24" i="2"/>
  <c r="W24" i="2"/>
  <c r="AE27" i="2"/>
  <c r="W27" i="2"/>
  <c r="AE8" i="2"/>
  <c r="AE6" i="2"/>
  <c r="AE13" i="2"/>
  <c r="AE11" i="2"/>
  <c r="AE86" i="2"/>
  <c r="AE84" i="2"/>
  <c r="AE82" i="2"/>
  <c r="AE80" i="2"/>
  <c r="AE76" i="2"/>
  <c r="AE25" i="2"/>
  <c r="AE38" i="2"/>
  <c r="AE52" i="2"/>
  <c r="AE22" i="2"/>
  <c r="AE49" i="2"/>
  <c r="AE60" i="2"/>
  <c r="AE37" i="2"/>
  <c r="AE46" i="2"/>
  <c r="AE69" i="2"/>
  <c r="AE59" i="2"/>
  <c r="AE68" i="2"/>
  <c r="AE20" i="2"/>
  <c r="AE43" i="2"/>
  <c r="AE61" i="2"/>
  <c r="AE18" i="2"/>
  <c r="AE42" i="2"/>
  <c r="AE30" i="2"/>
  <c r="AE17" i="2"/>
  <c r="AE51" i="2"/>
  <c r="AE29" i="2"/>
  <c r="U29" i="2"/>
  <c r="Z89" i="2"/>
  <c r="W9" i="2"/>
  <c r="AF9" i="2"/>
  <c r="AG9" i="2" s="1"/>
  <c r="W7" i="2"/>
  <c r="AF7" i="2"/>
  <c r="AG7" i="2" s="1"/>
  <c r="W85" i="2"/>
  <c r="AF85" i="2"/>
  <c r="AG85" i="2" s="1"/>
  <c r="W83" i="2"/>
  <c r="AF83" i="2"/>
  <c r="AG83" i="2" s="1"/>
  <c r="W79" i="2"/>
  <c r="AF79" i="2"/>
  <c r="AG79" i="2" s="1"/>
  <c r="W77" i="2"/>
  <c r="AF77" i="2"/>
  <c r="AG77" i="2" s="1"/>
  <c r="W56" i="2"/>
  <c r="AF56" i="2"/>
  <c r="AG56" i="2" s="1"/>
  <c r="W28" i="2"/>
  <c r="AF28" i="2"/>
  <c r="AG28" i="2" s="1"/>
  <c r="W65" i="2"/>
  <c r="AF65" i="2"/>
  <c r="AG65" i="2" s="1"/>
  <c r="W23" i="2"/>
  <c r="AF23" i="2"/>
  <c r="AG23" i="2" s="1"/>
  <c r="W50" i="2"/>
  <c r="AF50" i="2"/>
  <c r="AG50" i="2" s="1"/>
  <c r="W71" i="2"/>
  <c r="AF71" i="2"/>
  <c r="AG71" i="2" s="1"/>
  <c r="W26" i="2"/>
  <c r="AF26" i="2"/>
  <c r="AG26" i="2" s="1"/>
  <c r="W47" i="2"/>
  <c r="AF47" i="2"/>
  <c r="AG47" i="2" s="1"/>
  <c r="W21" i="2"/>
  <c r="AF21" i="2"/>
  <c r="AG21" i="2" s="1"/>
  <c r="W33" i="2"/>
  <c r="AF33" i="2"/>
  <c r="AG33" i="2" s="1"/>
  <c r="W36" i="2"/>
  <c r="AF36" i="2"/>
  <c r="AG36" i="2" s="1"/>
  <c r="W19" i="2"/>
  <c r="AF19" i="2"/>
  <c r="AG19" i="2" s="1"/>
  <c r="W32" i="2"/>
  <c r="AF32" i="2"/>
  <c r="AG32" i="2" s="1"/>
  <c r="W31" i="2"/>
  <c r="AF31" i="2"/>
  <c r="AG31" i="2" s="1"/>
  <c r="W58" i="2"/>
  <c r="AF58" i="2"/>
  <c r="AG58" i="2" s="1"/>
  <c r="W55" i="2"/>
  <c r="AF55" i="2"/>
  <c r="AG55" i="2" s="1"/>
  <c r="W41" i="2"/>
  <c r="AF41" i="2"/>
  <c r="AG41" i="2" s="1"/>
  <c r="W54" i="2"/>
  <c r="AF54" i="2"/>
  <c r="AG54" i="2" s="1"/>
  <c r="AD53" i="2"/>
  <c r="AE53" i="2" s="1"/>
  <c r="U53" i="2"/>
  <c r="W40" i="2"/>
  <c r="AF40" i="2"/>
  <c r="AG40" i="2" s="1"/>
  <c r="AD10" i="2"/>
  <c r="W87" i="2"/>
  <c r="AF87" i="2"/>
  <c r="AG87" i="2" s="1"/>
  <c r="W10" i="2"/>
  <c r="U10" i="2"/>
  <c r="AC10" i="2"/>
  <c r="U9" i="2"/>
  <c r="AD9" i="2"/>
  <c r="AE9" i="2" s="1"/>
  <c r="W8" i="2"/>
  <c r="U8" i="2"/>
  <c r="U7" i="2"/>
  <c r="AD7" i="2"/>
  <c r="AE7" i="2" s="1"/>
  <c r="W6" i="2"/>
  <c r="U6" i="2"/>
  <c r="W4" i="2"/>
  <c r="U4" i="2"/>
  <c r="W13" i="2"/>
  <c r="U13" i="2"/>
  <c r="W11" i="2"/>
  <c r="U11" i="2"/>
  <c r="U87" i="2"/>
  <c r="AD87" i="2"/>
  <c r="AE87" i="2" s="1"/>
  <c r="W86" i="2"/>
  <c r="U86" i="2"/>
  <c r="U85" i="2"/>
  <c r="AD85" i="2"/>
  <c r="AE85" i="2" s="1"/>
  <c r="W84" i="2"/>
  <c r="U84" i="2"/>
  <c r="U83" i="2"/>
  <c r="AD83" i="2"/>
  <c r="AE83" i="2" s="1"/>
  <c r="W82" i="2"/>
  <c r="U82" i="2"/>
  <c r="U79" i="2"/>
  <c r="AD79" i="2"/>
  <c r="AE79" i="2" s="1"/>
  <c r="U77" i="2"/>
  <c r="AD77" i="2"/>
  <c r="AE77" i="2" s="1"/>
  <c r="W76" i="2"/>
  <c r="U76" i="2"/>
  <c r="U56" i="2"/>
  <c r="AD56" i="2"/>
  <c r="AE56" i="2" s="1"/>
  <c r="W25" i="2"/>
  <c r="U25" i="2"/>
  <c r="U28" i="2"/>
  <c r="AD28" i="2"/>
  <c r="AE28" i="2" s="1"/>
  <c r="W38" i="2"/>
  <c r="U38" i="2"/>
  <c r="U65" i="2"/>
  <c r="AD65" i="2"/>
  <c r="AE65" i="2" s="1"/>
  <c r="U23" i="2"/>
  <c r="AD23" i="2"/>
  <c r="AE23" i="2" s="1"/>
  <c r="W52" i="2"/>
  <c r="U52" i="2"/>
  <c r="W22" i="2"/>
  <c r="U22" i="2"/>
  <c r="U50" i="2"/>
  <c r="AD50" i="2"/>
  <c r="AE50" i="2" s="1"/>
  <c r="W49" i="2"/>
  <c r="U49" i="2"/>
  <c r="U71" i="2"/>
  <c r="AD71" i="2"/>
  <c r="AE71" i="2" s="1"/>
  <c r="W60" i="2"/>
  <c r="U60" i="2"/>
  <c r="U26" i="2"/>
  <c r="AD26" i="2"/>
  <c r="AE26" i="2" s="1"/>
  <c r="W37" i="2"/>
  <c r="U37" i="2"/>
  <c r="U47" i="2"/>
  <c r="AD47" i="2"/>
  <c r="AE47" i="2" s="1"/>
  <c r="W46" i="2"/>
  <c r="U46" i="2"/>
  <c r="W69" i="2"/>
  <c r="U69" i="2"/>
  <c r="U21" i="2"/>
  <c r="AD21" i="2"/>
  <c r="AE21" i="2" s="1"/>
  <c r="W59" i="2"/>
  <c r="U59" i="2"/>
  <c r="U33" i="2"/>
  <c r="AD33" i="2"/>
  <c r="AE33" i="2" s="1"/>
  <c r="W68" i="2"/>
  <c r="U68" i="2"/>
  <c r="W20" i="2"/>
  <c r="U20" i="2"/>
  <c r="U36" i="2"/>
  <c r="AD36" i="2"/>
  <c r="AE36" i="2" s="1"/>
  <c r="W43" i="2"/>
  <c r="U43" i="2"/>
  <c r="U19" i="2"/>
  <c r="AD19" i="2"/>
  <c r="AE19" i="2" s="1"/>
  <c r="U32" i="2"/>
  <c r="AD32" i="2"/>
  <c r="AE32" i="2" s="1"/>
  <c r="W61" i="2"/>
  <c r="U61" i="2"/>
  <c r="U31" i="2"/>
  <c r="AD31" i="2"/>
  <c r="AE31" i="2" s="1"/>
  <c r="W18" i="2"/>
  <c r="U18" i="2"/>
  <c r="U58" i="2"/>
  <c r="AD58" i="2"/>
  <c r="AE58" i="2" s="1"/>
  <c r="W42" i="2"/>
  <c r="U42" i="2"/>
  <c r="U55" i="2"/>
  <c r="AD55" i="2"/>
  <c r="AE55" i="2" s="1"/>
  <c r="W30" i="2"/>
  <c r="U30" i="2"/>
  <c r="U41" i="2"/>
  <c r="AD41" i="2"/>
  <c r="AE41" i="2" s="1"/>
  <c r="W17" i="2"/>
  <c r="U17" i="2"/>
  <c r="U54" i="2"/>
  <c r="AD54" i="2"/>
  <c r="AE54" i="2" s="1"/>
  <c r="AF53" i="2"/>
  <c r="AG53" i="2" s="1"/>
  <c r="W53" i="2"/>
  <c r="AF51" i="2"/>
  <c r="AG51" i="2" s="1"/>
  <c r="W51" i="2"/>
  <c r="U40" i="2"/>
  <c r="AD40" i="2"/>
  <c r="AE40" i="2" s="1"/>
  <c r="U51" i="2"/>
  <c r="U16" i="2"/>
  <c r="AD16" i="2"/>
  <c r="AE16" i="2" s="1"/>
  <c r="W29" i="2"/>
  <c r="W16" i="2"/>
  <c r="AF16" i="2"/>
  <c r="AG16" i="2" s="1"/>
  <c r="V15" i="2"/>
  <c r="V88" i="2" s="1"/>
  <c r="T15" i="2"/>
  <c r="T88" i="2" s="1"/>
  <c r="S15" i="2"/>
  <c r="S88" i="2" s="1"/>
  <c r="Q88" i="2"/>
  <c r="O88" i="2"/>
  <c r="N88" i="2"/>
  <c r="L88" i="2"/>
  <c r="J88" i="2"/>
  <c r="I88" i="2"/>
  <c r="G88" i="2"/>
  <c r="E88" i="2"/>
  <c r="D88" i="2"/>
  <c r="AB10" i="2"/>
  <c r="Z10" i="2"/>
  <c r="R10" i="2"/>
  <c r="P10" i="2"/>
  <c r="M10" i="2"/>
  <c r="K10" i="2"/>
  <c r="H10" i="2"/>
  <c r="F10" i="2"/>
  <c r="M9" i="2"/>
  <c r="K9" i="2"/>
  <c r="R8" i="2"/>
  <c r="P8" i="2"/>
  <c r="M8" i="2"/>
  <c r="K8" i="2"/>
  <c r="H8" i="2"/>
  <c r="F8" i="2"/>
  <c r="AB7" i="2"/>
  <c r="Z7" i="2"/>
  <c r="R7" i="2"/>
  <c r="P7" i="2"/>
  <c r="M7" i="2"/>
  <c r="K7" i="2"/>
  <c r="H7" i="2"/>
  <c r="F7" i="2"/>
  <c r="R6" i="2"/>
  <c r="P6" i="2"/>
  <c r="M6" i="2"/>
  <c r="K6" i="2"/>
  <c r="AB4" i="2"/>
  <c r="Z4" i="2"/>
  <c r="R4" i="2"/>
  <c r="P4" i="2"/>
  <c r="M4" i="2"/>
  <c r="K4" i="2"/>
  <c r="H4" i="2"/>
  <c r="F4" i="2"/>
  <c r="AB13" i="2"/>
  <c r="Z13" i="2"/>
  <c r="R13" i="2"/>
  <c r="P13" i="2"/>
  <c r="M13" i="2"/>
  <c r="K13" i="2"/>
  <c r="H13" i="2"/>
  <c r="F13" i="2"/>
  <c r="AB11" i="2"/>
  <c r="Z11" i="2"/>
  <c r="R11" i="2"/>
  <c r="P11" i="2"/>
  <c r="M11" i="2"/>
  <c r="K11" i="2"/>
  <c r="H11" i="2"/>
  <c r="F11" i="2"/>
  <c r="AB87" i="2"/>
  <c r="Z87" i="2"/>
  <c r="R87" i="2"/>
  <c r="P87" i="2"/>
  <c r="M87" i="2"/>
  <c r="K87" i="2"/>
  <c r="H87" i="2"/>
  <c r="F87" i="2"/>
  <c r="AB86" i="2"/>
  <c r="Z86" i="2"/>
  <c r="R86" i="2"/>
  <c r="P86" i="2"/>
  <c r="M86" i="2"/>
  <c r="K86" i="2"/>
  <c r="H86" i="2"/>
  <c r="F86" i="2"/>
  <c r="H85" i="2"/>
  <c r="F85" i="2"/>
  <c r="AB84" i="2"/>
  <c r="Z84" i="2"/>
  <c r="R84" i="2"/>
  <c r="P84" i="2"/>
  <c r="M84" i="2"/>
  <c r="K84" i="2"/>
  <c r="H84" i="2"/>
  <c r="F84" i="2"/>
  <c r="AB83" i="2"/>
  <c r="Z83" i="2"/>
  <c r="R83" i="2"/>
  <c r="P83" i="2"/>
  <c r="M83" i="2"/>
  <c r="K83" i="2"/>
  <c r="H83" i="2"/>
  <c r="F83" i="2"/>
  <c r="R82" i="2"/>
  <c r="P82" i="2"/>
  <c r="M82" i="2"/>
  <c r="K82" i="2"/>
  <c r="AB80" i="2"/>
  <c r="Z80" i="2"/>
  <c r="AB79" i="2"/>
  <c r="Z79" i="2"/>
  <c r="R79" i="2"/>
  <c r="P79" i="2"/>
  <c r="M79" i="2"/>
  <c r="K79" i="2"/>
  <c r="H79" i="2"/>
  <c r="F79" i="2"/>
  <c r="AB77" i="2"/>
  <c r="Z77" i="2"/>
  <c r="M77" i="2"/>
  <c r="K77" i="2"/>
  <c r="H77" i="2"/>
  <c r="F77" i="2"/>
  <c r="AB76" i="2"/>
  <c r="Z76" i="2"/>
  <c r="R76" i="2"/>
  <c r="P76" i="2"/>
  <c r="M76" i="2"/>
  <c r="K76" i="2"/>
  <c r="H76" i="2"/>
  <c r="F76" i="2"/>
  <c r="R56" i="2"/>
  <c r="P56" i="2"/>
  <c r="AB25" i="2"/>
  <c r="Z25" i="2"/>
  <c r="R25" i="2"/>
  <c r="P25" i="2"/>
  <c r="M25" i="2"/>
  <c r="K25" i="2"/>
  <c r="H25" i="2"/>
  <c r="F25" i="2"/>
  <c r="R28" i="2"/>
  <c r="P28" i="2"/>
  <c r="M28" i="2"/>
  <c r="K28" i="2"/>
  <c r="R38" i="2"/>
  <c r="P38" i="2"/>
  <c r="M38" i="2"/>
  <c r="K38" i="2"/>
  <c r="H38" i="2"/>
  <c r="F38" i="2"/>
  <c r="R65" i="2"/>
  <c r="P65" i="2"/>
  <c r="AB23" i="2"/>
  <c r="Z23" i="2"/>
  <c r="R23" i="2"/>
  <c r="P23" i="2"/>
  <c r="H23" i="2"/>
  <c r="F23" i="2"/>
  <c r="AB52" i="2"/>
  <c r="Z52" i="2"/>
  <c r="R52" i="2"/>
  <c r="P52" i="2"/>
  <c r="M52" i="2"/>
  <c r="K52" i="2"/>
  <c r="H52" i="2"/>
  <c r="F52" i="2"/>
  <c r="AB22" i="2"/>
  <c r="Z22" i="2"/>
  <c r="R22" i="2"/>
  <c r="P22" i="2"/>
  <c r="M22" i="2"/>
  <c r="K22" i="2"/>
  <c r="H22" i="2"/>
  <c r="F22" i="2"/>
  <c r="R50" i="2"/>
  <c r="P50" i="2"/>
  <c r="H50" i="2"/>
  <c r="F50" i="2"/>
  <c r="AB49" i="2"/>
  <c r="Z49" i="2"/>
  <c r="R49" i="2"/>
  <c r="P49" i="2"/>
  <c r="M49" i="2"/>
  <c r="K49" i="2"/>
  <c r="H49" i="2"/>
  <c r="F49" i="2"/>
  <c r="AB71" i="2"/>
  <c r="Z71" i="2"/>
  <c r="R71" i="2"/>
  <c r="P71" i="2"/>
  <c r="M71" i="2"/>
  <c r="K71" i="2"/>
  <c r="H71" i="2"/>
  <c r="F71" i="2"/>
  <c r="AB60" i="2"/>
  <c r="Z60" i="2"/>
  <c r="R60" i="2"/>
  <c r="P60" i="2"/>
  <c r="M60" i="2"/>
  <c r="K60" i="2"/>
  <c r="H60" i="2"/>
  <c r="F60" i="2"/>
  <c r="R26" i="2"/>
  <c r="P26" i="2"/>
  <c r="M26" i="2"/>
  <c r="K26" i="2"/>
  <c r="AB37" i="2"/>
  <c r="Z37" i="2"/>
  <c r="R37" i="2"/>
  <c r="P37" i="2"/>
  <c r="M37" i="2"/>
  <c r="K37" i="2"/>
  <c r="H37" i="2"/>
  <c r="F37" i="2"/>
  <c r="AB47" i="2"/>
  <c r="Z47" i="2"/>
  <c r="R47" i="2"/>
  <c r="P47" i="2"/>
  <c r="M47" i="2"/>
  <c r="K47" i="2"/>
  <c r="H47" i="2"/>
  <c r="F47" i="2"/>
  <c r="AB46" i="2"/>
  <c r="Z46" i="2"/>
  <c r="R46" i="2"/>
  <c r="P46" i="2"/>
  <c r="M46" i="2"/>
  <c r="K46" i="2"/>
  <c r="H46" i="2"/>
  <c r="F46" i="2"/>
  <c r="R69" i="2"/>
  <c r="P69" i="2"/>
  <c r="M69" i="2"/>
  <c r="K69" i="2"/>
  <c r="H69" i="2"/>
  <c r="F69" i="2"/>
  <c r="AB21" i="2"/>
  <c r="Z21" i="2"/>
  <c r="R21" i="2"/>
  <c r="P21" i="2"/>
  <c r="M21" i="2"/>
  <c r="K21" i="2"/>
  <c r="H21" i="2"/>
  <c r="F21" i="2"/>
  <c r="AB59" i="2"/>
  <c r="Z59" i="2"/>
  <c r="R59" i="2"/>
  <c r="P59" i="2"/>
  <c r="M59" i="2"/>
  <c r="K59" i="2"/>
  <c r="H59" i="2"/>
  <c r="F59" i="2"/>
  <c r="AB33" i="2"/>
  <c r="Z33" i="2"/>
  <c r="R33" i="2"/>
  <c r="P33" i="2"/>
  <c r="M33" i="2"/>
  <c r="K33" i="2"/>
  <c r="H33" i="2"/>
  <c r="F33" i="2"/>
  <c r="AB68" i="2"/>
  <c r="Z68" i="2"/>
  <c r="R68" i="2"/>
  <c r="P68" i="2"/>
  <c r="AB20" i="2"/>
  <c r="Z20" i="2"/>
  <c r="R20" i="2"/>
  <c r="P20" i="2"/>
  <c r="M20" i="2"/>
  <c r="K20" i="2"/>
  <c r="H20" i="2"/>
  <c r="F20" i="2"/>
  <c r="AB36" i="2"/>
  <c r="Z36" i="2"/>
  <c r="R36" i="2"/>
  <c r="P36" i="2"/>
  <c r="M36" i="2"/>
  <c r="K36" i="2"/>
  <c r="H36" i="2"/>
  <c r="F36" i="2"/>
  <c r="AB43" i="2"/>
  <c r="Z43" i="2"/>
  <c r="R43" i="2"/>
  <c r="P43" i="2"/>
  <c r="M43" i="2"/>
  <c r="K43" i="2"/>
  <c r="H43" i="2"/>
  <c r="F43" i="2"/>
  <c r="AB19" i="2"/>
  <c r="Z19" i="2"/>
  <c r="R19" i="2"/>
  <c r="P19" i="2"/>
  <c r="M19" i="2"/>
  <c r="K19" i="2"/>
  <c r="H19" i="2"/>
  <c r="F19" i="2"/>
  <c r="AB32" i="2"/>
  <c r="Z32" i="2"/>
  <c r="R32" i="2"/>
  <c r="P32" i="2"/>
  <c r="M32" i="2"/>
  <c r="K32" i="2"/>
  <c r="H32" i="2"/>
  <c r="F32" i="2"/>
  <c r="AB61" i="2"/>
  <c r="Z61" i="2"/>
  <c r="R61" i="2"/>
  <c r="P61" i="2"/>
  <c r="M61" i="2"/>
  <c r="K61" i="2"/>
  <c r="H61" i="2"/>
  <c r="F61" i="2"/>
  <c r="AB31" i="2"/>
  <c r="Z31" i="2"/>
  <c r="R31" i="2"/>
  <c r="P31" i="2"/>
  <c r="M31" i="2"/>
  <c r="K31" i="2"/>
  <c r="H31" i="2"/>
  <c r="F31" i="2"/>
  <c r="AB18" i="2"/>
  <c r="Z18" i="2"/>
  <c r="R18" i="2"/>
  <c r="P18" i="2"/>
  <c r="M18" i="2"/>
  <c r="K18" i="2"/>
  <c r="H18" i="2"/>
  <c r="F18" i="2"/>
  <c r="R58" i="2"/>
  <c r="P58" i="2"/>
  <c r="M58" i="2"/>
  <c r="K58" i="2"/>
  <c r="H58" i="2"/>
  <c r="F58" i="2"/>
  <c r="R42" i="2"/>
  <c r="P42" i="2"/>
  <c r="AB55" i="2"/>
  <c r="Z55" i="2"/>
  <c r="H55" i="2"/>
  <c r="F55" i="2"/>
  <c r="AB30" i="2"/>
  <c r="Z30" i="2"/>
  <c r="R30" i="2"/>
  <c r="P30" i="2"/>
  <c r="M30" i="2"/>
  <c r="K30" i="2"/>
  <c r="H30" i="2"/>
  <c r="F30" i="2"/>
  <c r="AB41" i="2"/>
  <c r="Z41" i="2"/>
  <c r="R41" i="2"/>
  <c r="P41" i="2"/>
  <c r="M41" i="2"/>
  <c r="K41" i="2"/>
  <c r="H41" i="2"/>
  <c r="F41" i="2"/>
  <c r="AB17" i="2"/>
  <c r="Z17" i="2"/>
  <c r="R17" i="2"/>
  <c r="P17" i="2"/>
  <c r="M17" i="2"/>
  <c r="K17" i="2"/>
  <c r="H17" i="2"/>
  <c r="F17" i="2"/>
  <c r="H54" i="2"/>
  <c r="F54" i="2"/>
  <c r="AB53" i="2"/>
  <c r="Z53" i="2"/>
  <c r="R53" i="2"/>
  <c r="P53" i="2"/>
  <c r="M53" i="2"/>
  <c r="K53" i="2"/>
  <c r="H53" i="2"/>
  <c r="F53" i="2"/>
  <c r="AB40" i="2"/>
  <c r="Z40" i="2"/>
  <c r="R40" i="2"/>
  <c r="P40" i="2"/>
  <c r="M40" i="2"/>
  <c r="K40" i="2"/>
  <c r="H40" i="2"/>
  <c r="F40" i="2"/>
  <c r="AB51" i="2"/>
  <c r="Z51" i="2"/>
  <c r="R51" i="2"/>
  <c r="P51" i="2"/>
  <c r="M51" i="2"/>
  <c r="K51" i="2"/>
  <c r="H51" i="2"/>
  <c r="F51" i="2"/>
  <c r="AB16" i="2"/>
  <c r="Z16" i="2"/>
  <c r="R16" i="2"/>
  <c r="P16" i="2"/>
  <c r="M16" i="2"/>
  <c r="K16" i="2"/>
  <c r="H16" i="2"/>
  <c r="F16" i="2"/>
  <c r="AB29" i="2"/>
  <c r="Z29" i="2"/>
  <c r="R29" i="2"/>
  <c r="P29" i="2"/>
  <c r="M29" i="2"/>
  <c r="K29" i="2"/>
  <c r="H29" i="2"/>
  <c r="F29" i="2"/>
  <c r="AB15" i="2"/>
  <c r="Z15" i="2"/>
  <c r="R15" i="2"/>
  <c r="P15" i="2"/>
  <c r="M15" i="2"/>
  <c r="K15" i="2"/>
  <c r="H15" i="2"/>
  <c r="F15" i="2"/>
  <c r="W104" i="3" l="1"/>
  <c r="AF104" i="3"/>
  <c r="AE105" i="3"/>
  <c r="AC104" i="3"/>
  <c r="AC15" i="2"/>
  <c r="AC88" i="2" s="1"/>
  <c r="AF15" i="2"/>
  <c r="AF88" i="2" s="1"/>
  <c r="AE10" i="2"/>
  <c r="AG10" i="2"/>
  <c r="U15" i="2"/>
  <c r="AD15" i="2"/>
  <c r="AD88" i="2" s="1"/>
  <c r="S89" i="2"/>
  <c r="T89" i="2"/>
  <c r="W15" i="2"/>
  <c r="R88" i="2"/>
  <c r="M88" i="2"/>
  <c r="AB88" i="2"/>
  <c r="H88" i="2"/>
  <c r="W86" i="1"/>
  <c r="W83" i="1"/>
  <c r="W80" i="1"/>
  <c r="W78" i="1"/>
  <c r="W76" i="1"/>
  <c r="W75" i="1"/>
  <c r="W74" i="1"/>
  <c r="W72" i="1"/>
  <c r="W71" i="1"/>
  <c r="W68" i="1"/>
  <c r="W67" i="1"/>
  <c r="W65" i="1"/>
  <c r="W64" i="1"/>
  <c r="W63" i="1"/>
  <c r="W60" i="1"/>
  <c r="W54" i="1"/>
  <c r="W53" i="1"/>
  <c r="W52" i="1"/>
  <c r="W50" i="1"/>
  <c r="W48" i="1"/>
  <c r="W47" i="1"/>
  <c r="W44" i="1"/>
  <c r="W42" i="1"/>
  <c r="W41" i="1"/>
  <c r="W40" i="1"/>
  <c r="W35" i="1"/>
  <c r="W32" i="1"/>
  <c r="W31" i="1"/>
  <c r="W30" i="1"/>
  <c r="W28" i="1"/>
  <c r="W27" i="1"/>
  <c r="W26" i="1"/>
  <c r="W25" i="1"/>
  <c r="W23" i="1"/>
  <c r="W22" i="1"/>
  <c r="W21" i="1"/>
  <c r="W20" i="1"/>
  <c r="W17" i="1"/>
  <c r="W16" i="1"/>
  <c r="W15" i="1"/>
  <c r="W14" i="1"/>
  <c r="W12" i="1"/>
  <c r="W11" i="1"/>
  <c r="W10" i="1"/>
  <c r="W9" i="1"/>
  <c r="W8" i="1"/>
  <c r="W7" i="1"/>
  <c r="W6" i="1"/>
  <c r="W5" i="1"/>
  <c r="W4" i="1"/>
  <c r="U86" i="1"/>
  <c r="U83" i="1"/>
  <c r="U80" i="1"/>
  <c r="U78" i="1"/>
  <c r="U76" i="1"/>
  <c r="U75" i="1"/>
  <c r="U74" i="1"/>
  <c r="U72" i="1"/>
  <c r="U71" i="1"/>
  <c r="U68" i="1"/>
  <c r="U67" i="1"/>
  <c r="U65" i="1"/>
  <c r="U64" i="1"/>
  <c r="U63" i="1"/>
  <c r="U60" i="1"/>
  <c r="U54" i="1"/>
  <c r="U53" i="1"/>
  <c r="U52" i="1"/>
  <c r="U50" i="1"/>
  <c r="U48" i="1"/>
  <c r="U47" i="1"/>
  <c r="U44" i="1"/>
  <c r="U42" i="1"/>
  <c r="U41" i="1"/>
  <c r="U40" i="1"/>
  <c r="U35" i="1"/>
  <c r="U32" i="1"/>
  <c r="U31" i="1"/>
  <c r="U30" i="1"/>
  <c r="U28" i="1"/>
  <c r="U27" i="1"/>
  <c r="U26" i="1"/>
  <c r="U25" i="1"/>
  <c r="U23" i="1"/>
  <c r="U22" i="1"/>
  <c r="U21" i="1"/>
  <c r="U20" i="1"/>
  <c r="U17" i="1"/>
  <c r="U16" i="1"/>
  <c r="U15" i="1"/>
  <c r="U14" i="1"/>
  <c r="U12" i="1"/>
  <c r="U11" i="1"/>
  <c r="U10" i="1"/>
  <c r="U9" i="1"/>
  <c r="U8" i="1"/>
  <c r="U7" i="1"/>
  <c r="U6" i="1"/>
  <c r="U5" i="1"/>
  <c r="U4" i="1"/>
  <c r="R86" i="1"/>
  <c r="R84" i="1"/>
  <c r="R83" i="1"/>
  <c r="R82" i="1"/>
  <c r="R80" i="1"/>
  <c r="R78" i="1"/>
  <c r="R76" i="1"/>
  <c r="R75" i="1"/>
  <c r="R74" i="1"/>
  <c r="R72" i="1"/>
  <c r="R71" i="1"/>
  <c r="R70" i="1"/>
  <c r="R67" i="1"/>
  <c r="R64" i="1"/>
  <c r="R63" i="1"/>
  <c r="R61" i="1"/>
  <c r="R60" i="1"/>
  <c r="R59" i="1"/>
  <c r="R58" i="1"/>
  <c r="R55" i="1"/>
  <c r="R54" i="1"/>
  <c r="R53" i="1"/>
  <c r="R52" i="1"/>
  <c r="R50" i="1"/>
  <c r="R49" i="1"/>
  <c r="R48" i="1"/>
  <c r="R47" i="1"/>
  <c r="R44" i="1"/>
  <c r="R43" i="1"/>
  <c r="R42" i="1"/>
  <c r="R41" i="1"/>
  <c r="R40" i="1"/>
  <c r="R38" i="1"/>
  <c r="R35" i="1"/>
  <c r="R32" i="1"/>
  <c r="R31" i="1"/>
  <c r="R30" i="1"/>
  <c r="R28" i="1"/>
  <c r="R27" i="1"/>
  <c r="R26" i="1"/>
  <c r="R25" i="1"/>
  <c r="R23" i="1"/>
  <c r="R22" i="1"/>
  <c r="R21" i="1"/>
  <c r="R20" i="1"/>
  <c r="R19" i="1"/>
  <c r="R18" i="1"/>
  <c r="R16" i="1"/>
  <c r="R15" i="1"/>
  <c r="R14" i="1"/>
  <c r="R12" i="1"/>
  <c r="R11" i="1"/>
  <c r="R10" i="1"/>
  <c r="R9" i="1"/>
  <c r="R8" i="1"/>
  <c r="R7" i="1"/>
  <c r="R6" i="1"/>
  <c r="R5" i="1"/>
  <c r="R4" i="1"/>
  <c r="P86" i="1"/>
  <c r="P84" i="1"/>
  <c r="P83" i="1"/>
  <c r="P82" i="1"/>
  <c r="P80" i="1"/>
  <c r="P78" i="1"/>
  <c r="P76" i="1"/>
  <c r="P75" i="1"/>
  <c r="P74" i="1"/>
  <c r="P72" i="1"/>
  <c r="P71" i="1"/>
  <c r="P70" i="1"/>
  <c r="P67" i="1"/>
  <c r="P64" i="1"/>
  <c r="P63" i="1"/>
  <c r="P61" i="1"/>
  <c r="P60" i="1"/>
  <c r="P59" i="1"/>
  <c r="P58" i="1"/>
  <c r="P55" i="1"/>
  <c r="P54" i="1"/>
  <c r="P53" i="1"/>
  <c r="P52" i="1"/>
  <c r="P50" i="1"/>
  <c r="P49" i="1"/>
  <c r="P48" i="1"/>
  <c r="P47" i="1"/>
  <c r="P44" i="1"/>
  <c r="P43" i="1"/>
  <c r="P42" i="1"/>
  <c r="P41" i="1"/>
  <c r="P40" i="1"/>
  <c r="P38" i="1"/>
  <c r="P35" i="1"/>
  <c r="P32" i="1"/>
  <c r="P31" i="1"/>
  <c r="P30" i="1"/>
  <c r="P28" i="1"/>
  <c r="P27" i="1"/>
  <c r="P26" i="1"/>
  <c r="P25" i="1"/>
  <c r="P23" i="1"/>
  <c r="P22" i="1"/>
  <c r="P21" i="1"/>
  <c r="P20" i="1"/>
  <c r="P19" i="1"/>
  <c r="P18" i="1"/>
  <c r="P16" i="1"/>
  <c r="P15" i="1"/>
  <c r="P14" i="1"/>
  <c r="P12" i="1"/>
  <c r="P11" i="1"/>
  <c r="P10" i="1"/>
  <c r="P9" i="1"/>
  <c r="P8" i="1"/>
  <c r="P7" i="1"/>
  <c r="P6" i="1"/>
  <c r="P5" i="1"/>
  <c r="P4" i="1"/>
  <c r="M86" i="1"/>
  <c r="M85" i="1"/>
  <c r="M84" i="1"/>
  <c r="M83" i="1"/>
  <c r="M82" i="1"/>
  <c r="M80" i="1"/>
  <c r="M78" i="1"/>
  <c r="M76" i="1"/>
  <c r="M75" i="1"/>
  <c r="M74" i="1"/>
  <c r="M72" i="1"/>
  <c r="M71" i="1"/>
  <c r="M70" i="1"/>
  <c r="M67" i="1"/>
  <c r="M65" i="1"/>
  <c r="M64" i="1"/>
  <c r="M63" i="1"/>
  <c r="M60" i="1"/>
  <c r="M59" i="1"/>
  <c r="M58" i="1"/>
  <c r="M54" i="1"/>
  <c r="M52" i="1"/>
  <c r="M50" i="1"/>
  <c r="M48" i="1"/>
  <c r="M47" i="1"/>
  <c r="M44" i="1"/>
  <c r="M43" i="1"/>
  <c r="M42" i="1"/>
  <c r="M41" i="1"/>
  <c r="M40" i="1"/>
  <c r="M38" i="1"/>
  <c r="M35" i="1"/>
  <c r="M32" i="1"/>
  <c r="M31" i="1"/>
  <c r="M28" i="1"/>
  <c r="M27" i="1"/>
  <c r="M26" i="1"/>
  <c r="M25" i="1"/>
  <c r="M23" i="1"/>
  <c r="M22" i="1"/>
  <c r="M21" i="1"/>
  <c r="M20" i="1"/>
  <c r="M19" i="1"/>
  <c r="M16" i="1"/>
  <c r="M15" i="1"/>
  <c r="M14" i="1"/>
  <c r="M12" i="1"/>
  <c r="M11" i="1"/>
  <c r="M10" i="1"/>
  <c r="M9" i="1"/>
  <c r="M8" i="1"/>
  <c r="M7" i="1"/>
  <c r="M6" i="1"/>
  <c r="M5" i="1"/>
  <c r="M4" i="1"/>
  <c r="K86" i="1"/>
  <c r="K85" i="1"/>
  <c r="K84" i="1"/>
  <c r="K83" i="1"/>
  <c r="K82" i="1"/>
  <c r="K80" i="1"/>
  <c r="K78" i="1"/>
  <c r="K76" i="1"/>
  <c r="K75" i="1"/>
  <c r="K74" i="1"/>
  <c r="K72" i="1"/>
  <c r="K71" i="1"/>
  <c r="K70" i="1"/>
  <c r="K67" i="1"/>
  <c r="K65" i="1"/>
  <c r="K64" i="1"/>
  <c r="K63" i="1"/>
  <c r="K60" i="1"/>
  <c r="K59" i="1"/>
  <c r="K58" i="1"/>
  <c r="K54" i="1"/>
  <c r="K52" i="1"/>
  <c r="K50" i="1"/>
  <c r="K48" i="1"/>
  <c r="K47" i="1"/>
  <c r="K44" i="1"/>
  <c r="K43" i="1"/>
  <c r="K42" i="1"/>
  <c r="K41" i="1"/>
  <c r="K40" i="1"/>
  <c r="K38" i="1"/>
  <c r="K35" i="1"/>
  <c r="K32" i="1"/>
  <c r="K31" i="1"/>
  <c r="K28" i="1"/>
  <c r="K27" i="1"/>
  <c r="K26" i="1"/>
  <c r="K25" i="1"/>
  <c r="K23" i="1"/>
  <c r="K22" i="1"/>
  <c r="K21" i="1"/>
  <c r="K20" i="1"/>
  <c r="K19" i="1"/>
  <c r="K16" i="1"/>
  <c r="K15" i="1"/>
  <c r="K14" i="1"/>
  <c r="K12" i="1"/>
  <c r="K11" i="1"/>
  <c r="K10" i="1"/>
  <c r="K9" i="1"/>
  <c r="K8" i="1"/>
  <c r="K7" i="1"/>
  <c r="K6" i="1"/>
  <c r="K5" i="1"/>
  <c r="K4" i="1"/>
  <c r="H86" i="1"/>
  <c r="H84" i="1"/>
  <c r="H83" i="1"/>
  <c r="H80" i="1"/>
  <c r="H78" i="1"/>
  <c r="H76" i="1"/>
  <c r="H75" i="1"/>
  <c r="H74" i="1"/>
  <c r="H73" i="1"/>
  <c r="H72" i="1"/>
  <c r="H71" i="1"/>
  <c r="H67" i="1"/>
  <c r="H65" i="1"/>
  <c r="H64" i="1"/>
  <c r="H63" i="1"/>
  <c r="H60" i="1"/>
  <c r="H58" i="1"/>
  <c r="H54" i="1"/>
  <c r="H53" i="1"/>
  <c r="H52" i="1"/>
  <c r="H50" i="1"/>
  <c r="H49" i="1"/>
  <c r="H48" i="1"/>
  <c r="H47" i="1"/>
  <c r="H44" i="1"/>
  <c r="H42" i="1"/>
  <c r="H41" i="1"/>
  <c r="H40" i="1"/>
  <c r="H38" i="1"/>
  <c r="H35" i="1"/>
  <c r="H32" i="1"/>
  <c r="H31" i="1"/>
  <c r="H28" i="1"/>
  <c r="H27" i="1"/>
  <c r="H26" i="1"/>
  <c r="H25" i="1"/>
  <c r="H23" i="1"/>
  <c r="H22" i="1"/>
  <c r="H21" i="1"/>
  <c r="H20" i="1"/>
  <c r="H19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F86" i="1"/>
  <c r="F84" i="1"/>
  <c r="F83" i="1"/>
  <c r="F80" i="1"/>
  <c r="F78" i="1"/>
  <c r="F76" i="1"/>
  <c r="F75" i="1"/>
  <c r="F74" i="1"/>
  <c r="F73" i="1"/>
  <c r="F72" i="1"/>
  <c r="F71" i="1"/>
  <c r="F67" i="1"/>
  <c r="F65" i="1"/>
  <c r="F64" i="1"/>
  <c r="F63" i="1"/>
  <c r="F60" i="1"/>
  <c r="F58" i="1"/>
  <c r="F54" i="1"/>
  <c r="F53" i="1"/>
  <c r="F52" i="1"/>
  <c r="F50" i="1"/>
  <c r="F49" i="1"/>
  <c r="F48" i="1"/>
  <c r="F47" i="1"/>
  <c r="F44" i="1"/>
  <c r="F42" i="1"/>
  <c r="F41" i="1"/>
  <c r="F40" i="1"/>
  <c r="F38" i="1"/>
  <c r="F35" i="1"/>
  <c r="F32" i="1"/>
  <c r="F31" i="1"/>
  <c r="F28" i="1"/>
  <c r="F27" i="1"/>
  <c r="F26" i="1"/>
  <c r="F25" i="1"/>
  <c r="F23" i="1"/>
  <c r="F22" i="1"/>
  <c r="F21" i="1"/>
  <c r="F20" i="1"/>
  <c r="F19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V88" i="1"/>
  <c r="T88" i="1"/>
  <c r="S88" i="1"/>
  <c r="Q88" i="1"/>
  <c r="O88" i="1"/>
  <c r="N88" i="1"/>
  <c r="L88" i="1"/>
  <c r="J88" i="1"/>
  <c r="I88" i="1"/>
  <c r="G88" i="1"/>
  <c r="E88" i="1"/>
  <c r="H89" i="1" s="1"/>
  <c r="D88" i="1"/>
  <c r="H90" i="1" l="1"/>
  <c r="AG104" i="3"/>
  <c r="AD104" i="3"/>
  <c r="W88" i="2"/>
  <c r="AC89" i="2"/>
  <c r="U89" i="2"/>
  <c r="AE15" i="2"/>
  <c r="AD89" i="2"/>
  <c r="AG15" i="2"/>
  <c r="AG88" i="2"/>
  <c r="H88" i="1"/>
  <c r="D90" i="1"/>
  <c r="L90" i="1" s="1"/>
  <c r="W88" i="1"/>
  <c r="D89" i="1"/>
  <c r="L89" i="1" s="1"/>
  <c r="M88" i="1"/>
  <c r="R88" i="1"/>
  <c r="AE89" i="2" l="1"/>
  <c r="V112" i="3" l="1"/>
  <c r="V113" i="3" l="1"/>
</calcChain>
</file>

<file path=xl/sharedStrings.xml><?xml version="1.0" encoding="utf-8"?>
<sst xmlns="http://schemas.openxmlformats.org/spreadsheetml/2006/main" count="855" uniqueCount="213">
  <si>
    <t>N п/п</t>
  </si>
  <si>
    <t>Наименование услуги</t>
  </si>
  <si>
    <t>всего</t>
  </si>
  <si>
    <t>предоставлено через мфц</t>
  </si>
  <si>
    <t>доля услуг через мфц</t>
  </si>
  <si>
    <t>предоставлено в эл. форме</t>
  </si>
  <si>
    <t>доля услуг в эл. форме</t>
  </si>
  <si>
    <t xml:space="preserve"> Предоставление  градостроительного плана земельного участка</t>
  </si>
  <si>
    <t xml:space="preserve"> Выдача документа (выписки из  домовой книги) гражданам БГО</t>
  </si>
  <si>
    <t xml:space="preserve"> Утверждение документации по планировке территории БГО</t>
  </si>
  <si>
    <t xml:space="preserve"> Социальная поддержка лиц, удостоенных звания «Почетный гражданин г.Березовского</t>
  </si>
  <si>
    <t xml:space="preserve"> Приватизация жилого помещения муниципального жилищного фонда</t>
  </si>
  <si>
    <t xml:space="preserve"> Перераспределение земель и (или) земельных участков, расположенных на территории БГО</t>
  </si>
  <si>
    <t xml:space="preserve"> Предоставление  гражданам субсидий на оплату жилого помещения и коммунальных услуг</t>
  </si>
  <si>
    <t xml:space="preserve"> Предоставление жилых помещений муниципального жилищного фонда коммерческого использования</t>
  </si>
  <si>
    <t xml:space="preserve"> Осуществление дополнителных мер социальной поддержки некоторых категорий граждан</t>
  </si>
  <si>
    <t xml:space="preserve"> Оказание финансовой поддержки социально ориентированным некоммерческим организациям, благотворительной деятельности и добровольчеству, содействие деятельности некоммерческих организаций, выражающих интересы субъектов малого и среднего предпринимательства, и структурных подразделений указанных организаций</t>
  </si>
  <si>
    <t xml:space="preserve"> Предварительное согласование предоставления земельных участков, государственная собственность на которые не разграничена, на территории БГО</t>
  </si>
  <si>
    <t xml:space="preserve"> Предоставление жилого помещения муниципального жилищного фонда по договору найма в  специализированном жилищном фонде</t>
  </si>
  <si>
    <t xml:space="preserve"> Прием заявлений и выдача документов о согласовании переустройства и (или) перепланировки жилого помещения</t>
  </si>
  <si>
    <t xml:space="preserve"> Выдача разрешения на вступление в  брак несовершеннолетним лицам, достигшим возраста шестнадцати лет</t>
  </si>
  <si>
    <t xml:space="preserve"> Предоставление социальных выплат молодым семьям на приобретение (строительство) жилья</t>
  </si>
  <si>
    <t xml:space="preserve"> Признание в установленном порядке жилых помещений муниципального жилищного фонда непригодными для проживания</t>
  </si>
  <si>
    <t xml:space="preserve"> Предоставление земельных участков, государственная собственность на которые не разграничена, на территории БГО, на которых расположены здания, сооружения, в собственность гражданам и юридическим лицам</t>
  </si>
  <si>
    <t xml:space="preserve"> Выдача разрешений на ввод в эксплуатацию объектов капитального строительства</t>
  </si>
  <si>
    <t xml:space="preserve"> Выдача разрешения на право  размещения и эксплуатации нестационарных торговых объектов на территории БГО</t>
  </si>
  <si>
    <t xml:space="preserve"> Принятие документов, а также выдача разрешений о  переводе или об отказе в переводе жилого помещения в нежилое или нежилого помещения в жилое помещение </t>
  </si>
  <si>
    <t xml:space="preserve"> Прием заявлений и принятие решений об открытии (изменении, закрытии) муниципального маршрута на территории БГО</t>
  </si>
  <si>
    <t xml:space="preserve"> Предоставление земельных участков, государственная собственность на которые не разграничена, на территории БГО, в аренду гражданам и юридическим лицам</t>
  </si>
  <si>
    <t xml:space="preserve"> Признание молодых семей участниками подпрограммы «Обеспечение жильем молодых семей»</t>
  </si>
  <si>
    <t xml:space="preserve"> Выдача разрешений на проведение земляных работ</t>
  </si>
  <si>
    <t xml:space="preserve"> Прием заявлений и выдача документов об утверждении схемы расположения земельного участка на кадастровом плане или кадастровой карте</t>
  </si>
  <si>
    <t xml:space="preserve"> Предоставление поддержки субъектам малого и среднего предпринимательства в рамках реализации муниципальных программ</t>
  </si>
  <si>
    <t xml:space="preserve"> Погребение умерших на безвозмездной основе (в рамках гарантированного перечня услуг по погребению)</t>
  </si>
  <si>
    <t xml:space="preserve"> Выдача документа, подтверждающего проведение основных работ по строительству (реконструкции) объекта индивидуального жилищного строительства, осуществляемому с привлечением средств материнского капитала</t>
  </si>
  <si>
    <t xml:space="preserve"> Предоставление информации о порядке предоставления жилищно-коммунальных услуг населению БГО</t>
  </si>
  <si>
    <t xml:space="preserve"> Проведение приватизации земельных участков, на которых расположены объекты недвижимого имущества, находившиеся в муниципальной собственности, а также земельных участков, предоставленных в соответствии с решением исполнительного органа</t>
  </si>
  <si>
    <t xml:space="preserve"> Включение в список граждан, имеющих право на приобретение жилья экономического класса в рамках программы «Жилье для российской семьи»</t>
  </si>
  <si>
    <t xml:space="preserve"> Предоставление земельных участков для ведения садоводства в порядке приватизации</t>
  </si>
  <si>
    <t xml:space="preserve"> Включение мест размещения ярмарок на земельных участках, в зданиях, строениях, сооружениях, находящихся в частной собственности, в план организации и проведения ярмарок на территории Березовского городского округа , в очередном календарном году</t>
  </si>
  <si>
    <t xml:space="preserve"> Признание молодых семей участниками подпрограммы "Предоставление финансовой поддержки молодым семьям на погашение основной суммы долга и процентов по ипотечным жилищным кредитам (займам)"</t>
  </si>
  <si>
    <t xml:space="preserve"> Предоставление земельного участка для погребения умершего</t>
  </si>
  <si>
    <t xml:space="preserve"> Предоставление разрешения на отклонение предельных параметров разрешенного строительства, реконструкции объекта капитального строительства</t>
  </si>
  <si>
    <t xml:space="preserve"> Прием заявлений, документов, а также постановка граждан на учет в качестве нуждающихся в жилых помещениях</t>
  </si>
  <si>
    <t xml:space="preserve"> Признание молодых семей нуждающимися в улучшении жилищных условий</t>
  </si>
  <si>
    <t xml:space="preserve"> Выдача разрешений на строительство, реконструкцию объектов капитального строительства</t>
  </si>
  <si>
    <t xml:space="preserve"> Установление сервитута в отношении земельного участка, находящегося в государственной или муниципальной собственности</t>
  </si>
  <si>
    <t xml:space="preserve"> Выдача специального разрешения на движение по автомобильным дорогам местного значения БГО тяжеловестного и (или)  крупногабаритного транспортного средства.</t>
  </si>
  <si>
    <t xml:space="preserve"> Выдача  разрешения на право организации розничных рынков на территории БГО</t>
  </si>
  <si>
    <t xml:space="preserve"> Предоставление социальных выплат молодым семьям на  погашение основной суммы долга и процентов по ипотечным жилищным кредитам (займам)</t>
  </si>
  <si>
    <t xml:space="preserve"> Рассмотрение обращений граждан по Закону «О защите прав потребителей</t>
  </si>
  <si>
    <t xml:space="preserve"> Предоставление информации об очередности предоставления жилых помещений на условиях социального найма</t>
  </si>
  <si>
    <t>Предоставление жилого помещения муниципального жилищного фонда по договору соцнайма в БГО</t>
  </si>
  <si>
    <t xml:space="preserve"> Присвоение  объекту адресации адреса или аннулировании его адреса на территории БГО</t>
  </si>
  <si>
    <t xml:space="preserve"> Предоставление сведений из информационной системы обеспечения градостроительной деятельности</t>
  </si>
  <si>
    <t xml:space="preserve"> Предоставление отдельным категориям граждан компенсаций расходов на оплату жилого помещения и коммунальных услуг</t>
  </si>
  <si>
    <t xml:space="preserve"> Предоставление земельных участков, государственная собственность на которые не разграничена, на территории БГО, в безвозмездное пользование гражданам и юридическим лицам</t>
  </si>
  <si>
    <t xml:space="preserve"> Выдача разрешений на использование земель или земельных участков, находящихся в собственности БГО или государственная собственность на которые не разграничена, без предоставления земельных участков и установления сервитута</t>
  </si>
  <si>
    <t xml:space="preserve"> Предоставление субсидий сельскохозяйственным товаропроизводителям БГО</t>
  </si>
  <si>
    <t xml:space="preserve"> Регистрация заключения и расторжения трудовых договоров между работниками и работодателями - физическими лицами</t>
  </si>
  <si>
    <t xml:space="preserve"> Регистрация расторжения трудовых договоров, заключенных между индивидуальными предпринимателями и физическими лицами</t>
  </si>
  <si>
    <t xml:space="preserve"> Принятие решения о подготовке документации по планировке территории БГО</t>
  </si>
  <si>
    <t xml:space="preserve"> Принятие и рассмотрение уведомлений о проведении публичных мероприятий</t>
  </si>
  <si>
    <t xml:space="preserve"> Предоставление в постоянное (бессрочное) пользование земельных участков из состава земель, государственная собственность на которые не разграничена, из земель, находящихся в собственности БГО»</t>
  </si>
  <si>
    <t xml:space="preserve"> Оказание материальной помощи отдельным категориям граждан, проживающим на территории БГО</t>
  </si>
  <si>
    <t xml:space="preserve"> Установление тарифов на услуги, предоставляемые муниципальными предприятиями и учреждениями</t>
  </si>
  <si>
    <t>Принятие граждан на учет в качестве лиц,  имеющих право на предоставление в собственность бесплатно земельных участков для индивидуального жилищного строительства  на территории БГО»</t>
  </si>
  <si>
    <t>Предоставление выписки из реестра муниципального имущества БГО</t>
  </si>
  <si>
    <t>Предоставление земельных участков, расположенных на территории БГО  под строительство по результатам торгов</t>
  </si>
  <si>
    <t>Предоставление информации об объектах недвижимого имущества, находящихся в собственности БГО, предназначенных для сдачи в аренду</t>
  </si>
  <si>
    <t xml:space="preserve">Выдача разрешения на снос (перенос) зеленых насаждений </t>
  </si>
  <si>
    <t>Предоставление  муниципального имущества в аренду  без проведения торгов</t>
  </si>
  <si>
    <t>Предоставление земельных участков в аренду гражданам, имеющим право на первоочередное или внеочередное приобретение земельных участков в соответствии с ФЗ, законами субъектов РФ на территории БГО</t>
  </si>
  <si>
    <t>Предоставление в аренду, собственность земельных участков, находящихся в муниципальной собственности и Земельных участков, государственная собственность на которые не разграничена, расположенных на территории БГО, гражданам для индивидуального жилищного строительства, ведения личного подсобного хозяйства в границах населенного пункта, садоводства, дачного хозяйства, гражданам и крестьянским (фермерским) хозяйствам для осуществления крестьянским (фермерским) хозяйством его деятельности»</t>
  </si>
  <si>
    <t>Выдача разрешений на установку рекламных конструкций</t>
  </si>
  <si>
    <t>Предоставление земельных участков бесплатно в собственность для индивидуального жилищного строительства на территории БГО</t>
  </si>
  <si>
    <t>Информационное обеспечение граждан,  организаций и общественных объединений на основе документов Архивного фонда РФ и других архивных документов</t>
  </si>
  <si>
    <t>Выдача копий архивных документов, подтверждающих право на владение землей</t>
  </si>
  <si>
    <t>Предоставление доступа к справочно-поисковому аппарату библиотек, базам данных</t>
  </si>
  <si>
    <t>Предоставление информации о культурно-досуговых услугах</t>
  </si>
  <si>
    <t>Предоставление доступа к оцифрованным изданиям, хранящимся в библиотеках, в том числе к фонду редких книг, с учетом соблюдения требований законодательства РФ об авторских и смежных правах</t>
  </si>
  <si>
    <t>Предоставление информации о проведении япмарок, выставок народного творчества, ремесел на территории БГО</t>
  </si>
  <si>
    <t>Предоставление информации об образовательных программах и учебных планах, рабочих программах учебных курсов, предметов, дисциплин (модулей), годовых календарных учебных графиках в БГО</t>
  </si>
  <si>
    <t>Предоставление информации об организации общедоступного и бесплатного дошкольного, начального общего, основного общего, среднего (полного) общего образования, а также дополнительного образования в общеобразовательных учреждениях, расположенных на территории  БГО</t>
  </si>
  <si>
    <t>Предоставление информации о результатах сданных экзаменов, тестирования и иных вступительных испытаний, а также о зачислении в образовательное учреждение</t>
  </si>
  <si>
    <t>Предоставление информации о текущей успеваемости учащегося, ведение электронного дневника и электронного журнала успеваемости</t>
  </si>
  <si>
    <t>Зачисление в образовательное учреждение</t>
  </si>
  <si>
    <t>Предоставление путевок   в организации отдыха и оздоровления детям БГО</t>
  </si>
  <si>
    <t>Прием заявлений, постановка на учет и зачисление детей в образовательные учреждения, реализующие основную образовательную программу дошкольного образования (детские сады)</t>
  </si>
  <si>
    <t>Предоставление (резервирование) земельного участка для создания семейного (родового) захоронения на территории БГО</t>
  </si>
  <si>
    <t>Всего</t>
  </si>
  <si>
    <t>ц</t>
  </si>
  <si>
    <t>орг</t>
  </si>
  <si>
    <t>арх</t>
  </si>
  <si>
    <t>соц</t>
  </si>
  <si>
    <t>жил</t>
  </si>
  <si>
    <t>суб</t>
  </si>
  <si>
    <t>жкх</t>
  </si>
  <si>
    <t>э</t>
  </si>
  <si>
    <t>благ</t>
  </si>
  <si>
    <t>куи</t>
  </si>
  <si>
    <t>юр</t>
  </si>
  <si>
    <t>архив</t>
  </si>
  <si>
    <t>УК</t>
  </si>
  <si>
    <t>уо</t>
  </si>
  <si>
    <t>Предоставление архмвных справок, архивных копий, архивных выписок, информационных писем, связанных с реализацией законных прав и свобод граждан</t>
  </si>
  <si>
    <t>прогноз на за IV квартал</t>
  </si>
  <si>
    <t>факт за III квартал</t>
  </si>
  <si>
    <t>факт за II квартал</t>
  </si>
  <si>
    <t>факт за I квартал</t>
  </si>
  <si>
    <t>Итого по итогам 9 месяцев 2019</t>
  </si>
  <si>
    <t>Прогноз по итогу 2019</t>
  </si>
  <si>
    <t>Доля через МФЦ</t>
  </si>
  <si>
    <t>Доля в эл.виде</t>
  </si>
  <si>
    <t>9 месяцев</t>
  </si>
  <si>
    <t>прогноз на IV квартал</t>
  </si>
  <si>
    <t>прогноз на год</t>
  </si>
  <si>
    <t>всего по мфц</t>
  </si>
  <si>
    <t>Итого УО</t>
  </si>
  <si>
    <t>Итого УК</t>
  </si>
  <si>
    <t>Итого Центр пред.мун.услуг</t>
  </si>
  <si>
    <t>Итого Орготдел</t>
  </si>
  <si>
    <t>Итого архитектура</t>
  </si>
  <si>
    <t>Всего Центр + архитектура</t>
  </si>
  <si>
    <t>Итого жил.отдел</t>
  </si>
  <si>
    <t>Итого Центр субс.и комп.</t>
  </si>
  <si>
    <t>Итого соц.отдел</t>
  </si>
  <si>
    <t>Итого отдел ЖКХ</t>
  </si>
  <si>
    <t>Итого отдел экономики</t>
  </si>
  <si>
    <t>Итого по благоустройству</t>
  </si>
  <si>
    <t>Итого по юр.отделу</t>
  </si>
  <si>
    <t xml:space="preserve">Итого КУИ </t>
  </si>
  <si>
    <t>ИТОГО АРХИВ</t>
  </si>
  <si>
    <t>Предоставление архивных справок, архивных копий, архивных выписок, информационных писем, связанных с реализацией законных прав и свобод граждан</t>
  </si>
  <si>
    <t>4 квартал</t>
  </si>
  <si>
    <t xml:space="preserve">за 2019 </t>
  </si>
  <si>
    <t>Выдача уведомления о соответствии (несоответствии)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в Березовском городском округе</t>
  </si>
  <si>
    <t>Выдача уведомления о соответствии (несоответствии) указанных в уведомлении о планируемом строительстве или реконструкции объекта ИЖС или садового дома на земельном участке в Березовском городском округе</t>
  </si>
  <si>
    <t>мфц</t>
  </si>
  <si>
    <t>эл</t>
  </si>
  <si>
    <t>Территории/услуги</t>
  </si>
  <si>
    <t>Количество посещений заявителя в орган исполнительной власти (ОМСУ), МФЦ для получения одной услуги, раз</t>
  </si>
  <si>
    <t>Среднее время ожидания в очереди при обращении заявителей за услугой, минут</t>
  </si>
  <si>
    <t>Срок предоставления услуги, дней</t>
  </si>
  <si>
    <t>норматив</t>
  </si>
  <si>
    <t>факт (в среднем)</t>
  </si>
  <si>
    <t>факт</t>
  </si>
  <si>
    <t>доля услуг, оказанных с нарушением нормативного срока</t>
  </si>
  <si>
    <t>ОМСУ</t>
  </si>
  <si>
    <t>Южный управленческий округ</t>
  </si>
  <si>
    <t>Берёзовский городской округ</t>
  </si>
  <si>
    <t xml:space="preserve"> Выдача  разрешения на право организации розничных рынков на территории Березовского городского округа</t>
  </si>
  <si>
    <t xml:space="preserve"> Выдача выписки из  домовой книги, справок гражданам Березовского городского округа</t>
  </si>
  <si>
    <t xml:space="preserve"> Выдача разрешений на использование земель или земельных участков, находящихся в собственности Березовского городского округа или государственная собственность на которые не разграничена, без предоставления земельных участков и установления сервитута</t>
  </si>
  <si>
    <t xml:space="preserve"> Выдача разрешения на право  размещения и эксплуатации нестационарных торговых объектов на территории Березовского городского округа</t>
  </si>
  <si>
    <t xml:space="preserve"> Выдача специального разрешения на движение по автомобильным дорогам местного значения Березовского городского округа тяжеловестного и (или)  крупногабаритного транспортного средства.</t>
  </si>
  <si>
    <t xml:space="preserve"> Оказание материальной помощи отдельным категориям граждан, проживающим на территории Березовского городского округа</t>
  </si>
  <si>
    <t xml:space="preserve"> Перераспределение земель и (или) земельных участков, расположенных на территории Березовского городского округа</t>
  </si>
  <si>
    <t xml:space="preserve"> Предварительное согласование предоставления земельных участков, государственная собственность на которые не разграничена, на территории Березовского городского округа</t>
  </si>
  <si>
    <t xml:space="preserve"> Предоставление в постоянное (бессрочное) пользование земельных участков из состава земель, государственная собственность на которые не разграничена, из земель, находящихся в собственности Березовского городского округа»</t>
  </si>
  <si>
    <t xml:space="preserve"> Предоставление земельных участков под существующими объектами недвижимого имущества для ведения садоводства в собственность за плату</t>
  </si>
  <si>
    <t xml:space="preserve"> Предоставление земельных участков, государственная собственность на которые не разграничена, на территории Березовского городского округа, в аренду гражданам и юридическим лицам</t>
  </si>
  <si>
    <t xml:space="preserve"> Предоставление земельных участков, государственная собственность на которые не разграничена, на территории Березовского городского округа, в безвозмездное пользование гражданам и юридическим лицам</t>
  </si>
  <si>
    <t xml:space="preserve"> Предоставление земельных участков, государственная собственность на которые не разграничена, на территории Березовского городского округа, на которых расположены здания, сооружения, в собственность гражданам и юридическим лицам</t>
  </si>
  <si>
    <t xml:space="preserve"> Предоставление информации о порядке предоставления жилищно-коммунальных услуг населению Березовского городского округа</t>
  </si>
  <si>
    <t xml:space="preserve"> Предоставление разрешения на ввод объекта в эксплуатацию на территории Березовского городского округа</t>
  </si>
  <si>
    <t xml:space="preserve"> Предоставление разрешения на отклонение от предельных параметров разрешенного строительства на территории Березовского городского округа</t>
  </si>
  <si>
    <t xml:space="preserve"> Предоставление разрешения на строительство на территории Березовского городского округа</t>
  </si>
  <si>
    <t xml:space="preserve"> Предоставление субсидий сельскохозяйственным товаропроизводителям Березовского городского округа</t>
  </si>
  <si>
    <t xml:space="preserve"> Приватизация жилого помещения муниципального жилищного фонда Березовского городского округа</t>
  </si>
  <si>
    <t xml:space="preserve"> Прием заявлений  на предоставление разрешения на организацию проведения муниципальных лотерей</t>
  </si>
  <si>
    <t xml:space="preserve"> Прием заявлений и выдача документов об утверждении схемы расположения земельного участка на кадастровом плане территории Березовского городского округа</t>
  </si>
  <si>
    <t xml:space="preserve"> Прием заявлений и принятие решений об открытии (изменении, закрытии) муниципального маршрута на территории Березовского городского округа</t>
  </si>
  <si>
    <t xml:space="preserve"> Принятие решения о подготовке документации по планировке территории Березовского городского округа</t>
  </si>
  <si>
    <t xml:space="preserve"> Присвоение  объекту адресации адреса или аннулировании его адреса на территории Берёзовского городского округа</t>
  </si>
  <si>
    <t xml:space="preserve"> Утверждение документации по планировке территории Березовского городского округа</t>
  </si>
  <si>
    <t>Архивный отдел администрации Березовского городского округа -  Выдача копий архивных документов, подтверждающих право на владение землей</t>
  </si>
  <si>
    <t>Архивный отдел администрации Березовского городского округа -  Информационное обеспечение граждан,  организаций и общественных объединений на основе документов Архивного фонда Российской Федерации и других архивных документов</t>
  </si>
  <si>
    <t>Архивный отдел администрации Березовского городского округа -  Предоставление архивных справок, архивных копий, архивных выписок, информационных писем, связанных с реализацией законных прав и свобод граждан</t>
  </si>
  <si>
    <t>Комитет по архитектуре и градостроительству Березовского городского округа -  Выдача разрешения на ввод объекта в эксплуатацию при осуществлении строительства, реконструкции, капитального ремонта объектов капитального строительства, расположенных на территории Березовского городского округа</t>
  </si>
  <si>
    <t>Комитет по архитектуре и градостроительству Березовского городского округа -  Выдача разрешения на строительство при осуществлении строительства, реконструкции, капитального ремонта объектов капитального строительства и объектов индивидуального жилищного строительства, расположенных на территории  Березовского городского округа</t>
  </si>
  <si>
    <t>Комитет по архитектуре и градостроительству Березовского городского округа -  Подготовка заключений о возможности формирования земельных участков для индивидуального жилищного строительства, схем расположения земельных участков и заключений о согласовании использования земельных участков  для индивидуального жилищного строительства на территории Березовского городского округа</t>
  </si>
  <si>
    <t>Комитет по архитектуре и градостроительству Березовского городского округа -  Прием заявлений и выдача документов о согласовании переустройства и (или) перепланировки жилого помещения, расположенных на территории Березовского городского округа</t>
  </si>
  <si>
    <t>Комитет по архитектуре и градостроительству Березовского городского округа -  Прием заявлений и выдача документов о согласовании проектов границ земельных участков на территории Березовского городского округа</t>
  </si>
  <si>
    <t>Комитет по архитектуре и градостроительству Березовского городского округа -  Принятие документов, а также выдача решений о переводе или об отказе в переводе жилого помещения в нежилое или нежилого помещения в жилое помещение на территории Березовского городского округа</t>
  </si>
  <si>
    <t>Комитет по управлению имуществом Березовского городского округа -  Выдача разрешений на установку рекламных конструкций на территории Березовского городского округа</t>
  </si>
  <si>
    <t xml:space="preserve">Комитет по управлению имуществом Березовского городского округа -  Выдача разрешения на снос (перенос) зеленых насаждений </t>
  </si>
  <si>
    <t>Комитет по управлению имуществом Березовского городского округа -  Предоставление  муниципального имущества в аренду  без проведения торгов</t>
  </si>
  <si>
    <t>Комитет по управлению имуществом Березовского городского округа -  Предоставление в аренду, собственность земельных участков, находящихся в муниципальной собственности и Земельных участков, государственная собственность на которые не разграничена, расположенных на территории Березовского городского округа, гражданам для индивидуального жилищного строительства, ведения личного подсобного хозяйства в границах населенного пункта, садоводства, дачного хозяйства, гражданам и крестьянским (фермерским) хозяйствам для осуществления крестьянским (фермерским) хозяйством его деятельности»</t>
  </si>
  <si>
    <t>Комитет по управлению имуществом Березовского городского округа -  Предоставление выписки из реестра муниципального имущества Березовского городского округа</t>
  </si>
  <si>
    <t>Комитет по управлению имуществом Березовского городского округа -  Предоставление земельных участков бесплатно в собственность для индивидуального жилищного строительства на территории Березовского городского округа</t>
  </si>
  <si>
    <t>Комитет по управлению имуществом Березовского городского округа -  Предоставление земельных участков, расположенных на территории Березовского городского округа  под строительство по результатам торгов</t>
  </si>
  <si>
    <t>Комитет по управлению имуществом Березовского городского округа -  Предоставление информации об объектах недвижимого имущества, находящихся в собственности Березовского городского округа, предназначенных для сдачи в аренду</t>
  </si>
  <si>
    <t>Комитет по управлению имуществом Березовского городского округа -  Принятие граждан на учет в качестве лиц,  имеющих право на предоставление в собственность бесплатно земельных участков для индивидуального жилищного строительства  на территории Березовского городского округа»</t>
  </si>
  <si>
    <t>Управление культуры и спорта Березовского городского округа -  Предоставление доступа к оцифрованным изданиям, хранящимся в библиотеках, в том числе к фонду редких книг, с учетом соблюдения требований законодательства Российской Федерации об авторских и смежных правах</t>
  </si>
  <si>
    <t>Управление культуры и спорта Березовского городского округа -  Предоставление доступа к справочно-поисковому аппарату библиотек, базам данных</t>
  </si>
  <si>
    <t>Управление культуры и спорта Березовского городского округа -  Предоставление информации о культурно-досуговых услугах</t>
  </si>
  <si>
    <t>Управление образования Березовского городского округа -  Зачисление в образовательную организацию Березовского городского округа</t>
  </si>
  <si>
    <t>Управление образования Березовского городского округа -  Предоставление информации о результатах сданных экзаменов, тестирования и иных вступительных испытаний, а также о зачислении в образовательное учреждение</t>
  </si>
  <si>
    <t>Управление образования Березовского городского округа -  Предоставление информации о текущей успеваемости учащегося, ведение электронного дневника и электронного журнала успеваемости</t>
  </si>
  <si>
    <t>Управление образования Березовского городского округа -  Предоставление информации об образовательных программах и учебных планах, рабочих программах учебных курсов, предметов, дисциплин (модулей), годовых календарных учебных графиках в Березовском городском округе</t>
  </si>
  <si>
    <t>Управление образования Березовского городского округа -  Предоставление информации об организации общедоступного и бесплатного дошкольного, начального общего, основного общего, среднего (полного) общего образования, а также дополнительного образования в общеобразовательных учреждениях, расположенных на территории  Березовского городского округа</t>
  </si>
  <si>
    <t>Управление образования Березовского городского округа -  Предоставление путевок   в организации отдыха и оздоровления детям Березовского городского округа</t>
  </si>
  <si>
    <t>Управление образования Березовского городского округа -  Прием заявлений, постановка на учет и зачисление детей в образовательные учреждения, реализующие основную образовательную программу дошкольного образования (детские сады)</t>
  </si>
  <si>
    <t>Количество жалоб</t>
  </si>
  <si>
    <t>в том числе обоснованных</t>
  </si>
  <si>
    <t>всего обращений заявителей за получением услуги в отчетном периоде, единиц</t>
  </si>
  <si>
    <t>№ п/п</t>
  </si>
  <si>
    <t>Наименование муниципальной услуги</t>
  </si>
  <si>
    <t>в т.ч. через МФЦ</t>
  </si>
  <si>
    <t>в т.ч. в эл. форме</t>
  </si>
  <si>
    <t>всего за 2019 год</t>
  </si>
  <si>
    <t>Мониторинг качества предоставления муниципальных услуг в Березовском городском округе 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</si>
</sst>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lightUp">
        <bgColor theme="2" tint="-0.749992370372631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505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0">
    <xf numFmtId="0" fontId="0" fillId="0" borderId="0" xfId="0"/>
    <xf numFmtId="0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justify" vertical="top" wrapText="1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right" vertical="top" wrapText="1"/>
    </xf>
    <xf numFmtId="0" fontId="1" fillId="0" borderId="6" xfId="0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justify" vertical="top" wrapText="1"/>
    </xf>
    <xf numFmtId="49" fontId="4" fillId="0" borderId="2" xfId="0" applyNumberFormat="1" applyFont="1" applyBorder="1" applyAlignment="1">
      <alignment horizontal="justify" vertical="top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3" fillId="0" borderId="4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2" fillId="0" borderId="9" xfId="0" applyNumberFormat="1" applyFont="1" applyBorder="1" applyAlignment="1">
      <alignment horizontal="right" vertical="top" wrapText="1"/>
    </xf>
    <xf numFmtId="0" fontId="6" fillId="2" borderId="6" xfId="0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/>
    <xf numFmtId="164" fontId="6" fillId="2" borderId="7" xfId="0" applyNumberFormat="1" applyFont="1" applyFill="1" applyBorder="1"/>
    <xf numFmtId="0" fontId="6" fillId="0" borderId="6" xfId="0" applyFont="1" applyBorder="1"/>
    <xf numFmtId="0" fontId="6" fillId="0" borderId="1" xfId="0" applyFont="1" applyBorder="1"/>
    <xf numFmtId="164" fontId="6" fillId="0" borderId="1" xfId="0" applyNumberFormat="1" applyFont="1" applyBorder="1"/>
    <xf numFmtId="164" fontId="6" fillId="0" borderId="7" xfId="0" applyNumberFormat="1" applyFont="1" applyBorder="1"/>
    <xf numFmtId="164" fontId="6" fillId="0" borderId="1" xfId="0" applyNumberFormat="1" applyFont="1" applyFill="1" applyBorder="1"/>
    <xf numFmtId="0" fontId="6" fillId="0" borderId="1" xfId="0" applyFont="1" applyFill="1" applyBorder="1"/>
    <xf numFmtId="164" fontId="6" fillId="0" borderId="7" xfId="0" applyNumberFormat="1" applyFont="1" applyFill="1" applyBorder="1"/>
    <xf numFmtId="0" fontId="6" fillId="0" borderId="6" xfId="0" applyFont="1" applyFill="1" applyBorder="1"/>
    <xf numFmtId="0" fontId="6" fillId="3" borderId="6" xfId="0" applyFont="1" applyFill="1" applyBorder="1"/>
    <xf numFmtId="0" fontId="6" fillId="3" borderId="1" xfId="0" applyFont="1" applyFill="1" applyBorder="1"/>
    <xf numFmtId="0" fontId="6" fillId="3" borderId="7" xfId="0" applyFont="1" applyFill="1" applyBorder="1"/>
    <xf numFmtId="0" fontId="6" fillId="0" borderId="8" xfId="0" applyFont="1" applyBorder="1"/>
    <xf numFmtId="0" fontId="6" fillId="0" borderId="9" xfId="0" applyFont="1" applyBorder="1"/>
    <xf numFmtId="164" fontId="6" fillId="0" borderId="9" xfId="0" applyNumberFormat="1" applyFont="1" applyBorder="1"/>
    <xf numFmtId="164" fontId="6" fillId="0" borderId="10" xfId="0" applyNumberFormat="1" applyFont="1" applyBorder="1"/>
    <xf numFmtId="0" fontId="6" fillId="0" borderId="8" xfId="0" applyFont="1" applyFill="1" applyBorder="1"/>
    <xf numFmtId="0" fontId="6" fillId="0" borderId="9" xfId="0" applyFont="1" applyFill="1" applyBorder="1"/>
    <xf numFmtId="164" fontId="6" fillId="0" borderId="9" xfId="0" applyNumberFormat="1" applyFont="1" applyFill="1" applyBorder="1"/>
    <xf numFmtId="164" fontId="6" fillId="0" borderId="10" xfId="0" applyNumberFormat="1" applyFont="1" applyFill="1" applyBorder="1"/>
    <xf numFmtId="164" fontId="6" fillId="0" borderId="4" xfId="0" applyNumberFormat="1" applyFont="1" applyBorder="1"/>
    <xf numFmtId="164" fontId="7" fillId="0" borderId="4" xfId="0" applyNumberFormat="1" applyFont="1" applyBorder="1"/>
    <xf numFmtId="164" fontId="7" fillId="0" borderId="5" xfId="0" applyNumberFormat="1" applyFont="1" applyBorder="1"/>
    <xf numFmtId="164" fontId="7" fillId="0" borderId="1" xfId="0" applyNumberFormat="1" applyFont="1" applyBorder="1"/>
    <xf numFmtId="0" fontId="6" fillId="0" borderId="7" xfId="0" applyFont="1" applyBorder="1"/>
    <xf numFmtId="164" fontId="7" fillId="0" borderId="9" xfId="0" applyNumberFormat="1" applyFont="1" applyBorder="1"/>
    <xf numFmtId="0" fontId="6" fillId="0" borderId="10" xfId="0" applyFont="1" applyBorder="1"/>
    <xf numFmtId="49" fontId="4" fillId="0" borderId="2" xfId="0" applyNumberFormat="1" applyFont="1" applyBorder="1" applyAlignment="1">
      <alignment horizontal="justify" vertical="top" wrapText="1"/>
    </xf>
    <xf numFmtId="0" fontId="1" fillId="0" borderId="2" xfId="0" applyFont="1" applyBorder="1" applyAlignment="1">
      <alignment horizontal="center" vertical="center"/>
    </xf>
    <xf numFmtId="2" fontId="6" fillId="0" borderId="1" xfId="0" applyNumberFormat="1" applyFont="1" applyBorder="1"/>
    <xf numFmtId="0" fontId="1" fillId="2" borderId="13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15" xfId="0" applyFont="1" applyFill="1" applyBorder="1"/>
    <xf numFmtId="0" fontId="6" fillId="0" borderId="16" xfId="0" applyFont="1" applyBorder="1"/>
    <xf numFmtId="0" fontId="6" fillId="0" borderId="17" xfId="0" applyFont="1" applyBorder="1"/>
    <xf numFmtId="164" fontId="6" fillId="0" borderId="17" xfId="0" applyNumberFormat="1" applyFont="1" applyBorder="1"/>
    <xf numFmtId="164" fontId="6" fillId="0" borderId="18" xfId="0" applyNumberFormat="1" applyFont="1" applyBorder="1"/>
    <xf numFmtId="0" fontId="6" fillId="0" borderId="16" xfId="0" applyFont="1" applyFill="1" applyBorder="1"/>
    <xf numFmtId="0" fontId="6" fillId="0" borderId="17" xfId="0" applyFont="1" applyFill="1" applyBorder="1"/>
    <xf numFmtId="164" fontId="6" fillId="0" borderId="17" xfId="0" applyNumberFormat="1" applyFont="1" applyFill="1" applyBorder="1"/>
    <xf numFmtId="164" fontId="6" fillId="0" borderId="18" xfId="0" applyNumberFormat="1" applyFont="1" applyFill="1" applyBorder="1"/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6" fillId="0" borderId="21" xfId="0" applyFont="1" applyFill="1" applyBorder="1"/>
    <xf numFmtId="0" fontId="6" fillId="0" borderId="22" xfId="0" applyFont="1" applyFill="1" applyBorder="1"/>
    <xf numFmtId="164" fontId="6" fillId="0" borderId="22" xfId="0" applyNumberFormat="1" applyFont="1" applyFill="1" applyBorder="1"/>
    <xf numFmtId="164" fontId="6" fillId="0" borderId="23" xfId="0" applyNumberFormat="1" applyFont="1" applyFill="1" applyBorder="1"/>
    <xf numFmtId="164" fontId="6" fillId="0" borderId="24" xfId="0" applyNumberFormat="1" applyFont="1" applyFill="1" applyBorder="1"/>
    <xf numFmtId="0" fontId="7" fillId="0" borderId="6" xfId="0" applyFont="1" applyFill="1" applyBorder="1"/>
    <xf numFmtId="0" fontId="1" fillId="4" borderId="2" xfId="0" applyFont="1" applyFill="1" applyBorder="1" applyAlignment="1">
      <alignment horizontal="center" vertical="center"/>
    </xf>
    <xf numFmtId="0" fontId="0" fillId="4" borderId="0" xfId="0" applyFill="1"/>
    <xf numFmtId="49" fontId="10" fillId="4" borderId="2" xfId="0" applyNumberFormat="1" applyFont="1" applyFill="1" applyBorder="1" applyAlignment="1">
      <alignment horizontal="justify" vertical="top" wrapText="1"/>
    </xf>
    <xf numFmtId="49" fontId="10" fillId="0" borderId="2" xfId="0" applyNumberFormat="1" applyFont="1" applyBorder="1" applyAlignment="1">
      <alignment horizontal="justify" vertical="top" wrapText="1"/>
    </xf>
    <xf numFmtId="0" fontId="11" fillId="0" borderId="2" xfId="0" applyFont="1" applyBorder="1" applyAlignment="1">
      <alignment horizontal="center" vertical="center"/>
    </xf>
    <xf numFmtId="0" fontId="7" fillId="0" borderId="6" xfId="0" applyFont="1" applyBorder="1"/>
    <xf numFmtId="0" fontId="7" fillId="0" borderId="1" xfId="0" applyFont="1" applyBorder="1"/>
    <xf numFmtId="164" fontId="7" fillId="0" borderId="7" xfId="0" applyNumberFormat="1" applyFont="1" applyBorder="1"/>
    <xf numFmtId="0" fontId="7" fillId="0" borderId="1" xfId="0" applyFont="1" applyFill="1" applyBorder="1"/>
    <xf numFmtId="164" fontId="7" fillId="0" borderId="1" xfId="0" applyNumberFormat="1" applyFont="1" applyFill="1" applyBorder="1"/>
    <xf numFmtId="164" fontId="7" fillId="0" borderId="7" xfId="0" applyNumberFormat="1" applyFont="1" applyFill="1" applyBorder="1"/>
    <xf numFmtId="0" fontId="9" fillId="0" borderId="0" xfId="0" applyFont="1" applyFill="1"/>
    <xf numFmtId="0" fontId="9" fillId="0" borderId="0" xfId="0" applyFont="1"/>
    <xf numFmtId="0" fontId="1" fillId="0" borderId="25" xfId="0" applyFont="1" applyBorder="1" applyAlignment="1">
      <alignment horizontal="center" vertical="center"/>
    </xf>
    <xf numFmtId="0" fontId="6" fillId="0" borderId="25" xfId="0" applyFont="1" applyFill="1" applyBorder="1"/>
    <xf numFmtId="0" fontId="6" fillId="2" borderId="25" xfId="0" applyFont="1" applyFill="1" applyBorder="1"/>
    <xf numFmtId="0" fontId="1" fillId="0" borderId="15" xfId="0" applyNumberFormat="1" applyFont="1" applyBorder="1" applyAlignment="1">
      <alignment horizontal="center" vertical="center" wrapText="1"/>
    </xf>
    <xf numFmtId="0" fontId="6" fillId="2" borderId="15" xfId="0" applyFont="1" applyFill="1" applyBorder="1"/>
    <xf numFmtId="0" fontId="11" fillId="4" borderId="2" xfId="0" applyFont="1" applyFill="1" applyBorder="1" applyAlignment="1">
      <alignment horizontal="center" vertical="center"/>
    </xf>
    <xf numFmtId="0" fontId="9" fillId="4" borderId="0" xfId="0" applyFont="1" applyFill="1"/>
    <xf numFmtId="49" fontId="4" fillId="0" borderId="14" xfId="0" applyNumberFormat="1" applyFont="1" applyBorder="1" applyAlignment="1">
      <alignment horizontal="justify" vertical="top" wrapText="1"/>
    </xf>
    <xf numFmtId="0" fontId="6" fillId="0" borderId="26" xfId="0" applyFont="1" applyFill="1" applyBorder="1"/>
    <xf numFmtId="0" fontId="6" fillId="0" borderId="27" xfId="0" applyFont="1" applyFill="1" applyBorder="1"/>
    <xf numFmtId="49" fontId="4" fillId="2" borderId="13" xfId="0" applyNumberFormat="1" applyFont="1" applyFill="1" applyBorder="1" applyAlignment="1">
      <alignment horizontal="justify" vertical="top" wrapText="1"/>
    </xf>
    <xf numFmtId="0" fontId="6" fillId="2" borderId="28" xfId="0" applyFont="1" applyFill="1" applyBorder="1"/>
    <xf numFmtId="0" fontId="6" fillId="2" borderId="22" xfId="0" applyFont="1" applyFill="1" applyBorder="1"/>
    <xf numFmtId="164" fontId="6" fillId="2" borderId="22" xfId="0" applyNumberFormat="1" applyFont="1" applyFill="1" applyBorder="1"/>
    <xf numFmtId="164" fontId="6" fillId="2" borderId="24" xfId="0" applyNumberFormat="1" applyFont="1" applyFill="1" applyBorder="1"/>
    <xf numFmtId="0" fontId="6" fillId="2" borderId="29" xfId="0" applyFont="1" applyFill="1" applyBorder="1"/>
    <xf numFmtId="0" fontId="6" fillId="2" borderId="21" xfId="0" applyFont="1" applyFill="1" applyBorder="1"/>
    <xf numFmtId="0" fontId="7" fillId="4" borderId="30" xfId="0" applyFont="1" applyFill="1" applyBorder="1"/>
    <xf numFmtId="0" fontId="7" fillId="4" borderId="31" xfId="0" applyFont="1" applyFill="1" applyBorder="1"/>
    <xf numFmtId="164" fontId="7" fillId="4" borderId="31" xfId="0" applyNumberFormat="1" applyFont="1" applyFill="1" applyBorder="1"/>
    <xf numFmtId="164" fontId="7" fillId="4" borderId="32" xfId="0" applyNumberFormat="1" applyFont="1" applyFill="1" applyBorder="1"/>
    <xf numFmtId="0" fontId="6" fillId="0" borderId="29" xfId="0" applyFont="1" applyFill="1" applyBorder="1"/>
    <xf numFmtId="0" fontId="6" fillId="0" borderId="28" xfId="0" applyFont="1" applyFill="1" applyBorder="1"/>
    <xf numFmtId="0" fontId="7" fillId="0" borderId="11" xfId="0" applyFont="1" applyFill="1" applyBorder="1"/>
    <xf numFmtId="164" fontId="7" fillId="0" borderId="31" xfId="0" applyNumberFormat="1" applyFont="1" applyFill="1" applyBorder="1"/>
    <xf numFmtId="164" fontId="7" fillId="0" borderId="32" xfId="0" applyNumberFormat="1" applyFont="1" applyFill="1" applyBorder="1"/>
    <xf numFmtId="49" fontId="10" fillId="4" borderId="13" xfId="0" applyNumberFormat="1" applyFont="1" applyFill="1" applyBorder="1" applyAlignment="1">
      <alignment horizontal="justify" vertical="top" wrapText="1"/>
    </xf>
    <xf numFmtId="0" fontId="7" fillId="4" borderId="33" xfId="0" applyFont="1" applyFill="1" applyBorder="1"/>
    <xf numFmtId="0" fontId="7" fillId="4" borderId="34" xfId="0" applyFont="1" applyFill="1" applyBorder="1"/>
    <xf numFmtId="164" fontId="7" fillId="4" borderId="34" xfId="0" applyNumberFormat="1" applyFont="1" applyFill="1" applyBorder="1"/>
    <xf numFmtId="164" fontId="7" fillId="4" borderId="35" xfId="0" applyNumberFormat="1" applyFont="1" applyFill="1" applyBorder="1"/>
    <xf numFmtId="164" fontId="7" fillId="4" borderId="36" xfId="0" applyNumberFormat="1" applyFont="1" applyFill="1" applyBorder="1"/>
    <xf numFmtId="0" fontId="7" fillId="4" borderId="19" xfId="0" applyFont="1" applyFill="1" applyBorder="1"/>
    <xf numFmtId="164" fontId="7" fillId="4" borderId="37" xfId="0" applyNumberFormat="1" applyFont="1" applyFill="1" applyBorder="1"/>
    <xf numFmtId="164" fontId="7" fillId="4" borderId="38" xfId="0" applyNumberFormat="1" applyFont="1" applyFill="1" applyBorder="1"/>
    <xf numFmtId="0" fontId="6" fillId="2" borderId="26" xfId="0" applyFont="1" applyFill="1" applyBorder="1"/>
    <xf numFmtId="0" fontId="6" fillId="2" borderId="17" xfId="0" applyFont="1" applyFill="1" applyBorder="1"/>
    <xf numFmtId="164" fontId="6" fillId="2" borderId="17" xfId="0" applyNumberFormat="1" applyFont="1" applyFill="1" applyBorder="1"/>
    <xf numFmtId="0" fontId="6" fillId="2" borderId="27" xfId="0" applyFont="1" applyFill="1" applyBorder="1"/>
    <xf numFmtId="164" fontId="6" fillId="2" borderId="18" xfId="0" applyNumberFormat="1" applyFont="1" applyFill="1" applyBorder="1"/>
    <xf numFmtId="0" fontId="6" fillId="2" borderId="16" xfId="0" applyFont="1" applyFill="1" applyBorder="1"/>
    <xf numFmtId="0" fontId="7" fillId="0" borderId="2" xfId="0" applyFont="1" applyFill="1" applyBorder="1"/>
    <xf numFmtId="0" fontId="12" fillId="0" borderId="1" xfId="0" applyFont="1" applyFill="1" applyBorder="1"/>
    <xf numFmtId="0" fontId="12" fillId="0" borderId="17" xfId="0" applyFont="1" applyFill="1" applyBorder="1"/>
    <xf numFmtId="49" fontId="13" fillId="0" borderId="2" xfId="0" applyNumberFormat="1" applyFont="1" applyBorder="1" applyAlignment="1">
      <alignment horizontal="justify" vertical="top" wrapText="1"/>
    </xf>
    <xf numFmtId="49" fontId="14" fillId="0" borderId="2" xfId="0" applyNumberFormat="1" applyFont="1" applyBorder="1" applyAlignment="1">
      <alignment horizontal="justify" vertical="top" wrapText="1"/>
    </xf>
    <xf numFmtId="49" fontId="10" fillId="0" borderId="2" xfId="0" applyNumberFormat="1" applyFont="1" applyFill="1" applyBorder="1" applyAlignment="1">
      <alignment horizontal="justify" vertical="top" wrapText="1"/>
    </xf>
    <xf numFmtId="49" fontId="10" fillId="0" borderId="20" xfId="0" applyNumberFormat="1" applyFont="1" applyFill="1" applyBorder="1" applyAlignment="1">
      <alignment horizontal="justify" vertical="top" wrapText="1"/>
    </xf>
    <xf numFmtId="2" fontId="7" fillId="0" borderId="4" xfId="0" applyNumberFormat="1" applyFont="1" applyBorder="1"/>
    <xf numFmtId="0" fontId="0" fillId="0" borderId="0" xfId="0" applyFill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49" fontId="4" fillId="5" borderId="2" xfId="0" applyNumberFormat="1" applyFont="1" applyFill="1" applyBorder="1" applyAlignment="1">
      <alignment horizontal="justify" vertical="top" wrapText="1"/>
    </xf>
    <xf numFmtId="0" fontId="6" fillId="5" borderId="6" xfId="0" applyFont="1" applyFill="1" applyBorder="1"/>
    <xf numFmtId="0" fontId="6" fillId="5" borderId="1" xfId="0" applyFont="1" applyFill="1" applyBorder="1"/>
    <xf numFmtId="164" fontId="6" fillId="5" borderId="1" xfId="0" applyNumberFormat="1" applyFont="1" applyFill="1" applyBorder="1"/>
    <xf numFmtId="164" fontId="6" fillId="5" borderId="7" xfId="0" applyNumberFormat="1" applyFont="1" applyFill="1" applyBorder="1"/>
    <xf numFmtId="0" fontId="6" fillId="6" borderId="6" xfId="0" applyFont="1" applyFill="1" applyBorder="1"/>
    <xf numFmtId="0" fontId="6" fillId="6" borderId="1" xfId="0" applyFont="1" applyFill="1" applyBorder="1"/>
    <xf numFmtId="0" fontId="6" fillId="6" borderId="7" xfId="0" applyFont="1" applyFill="1" applyBorder="1"/>
    <xf numFmtId="0" fontId="6" fillId="5" borderId="29" xfId="0" applyFont="1" applyFill="1" applyBorder="1"/>
    <xf numFmtId="0" fontId="6" fillId="5" borderId="22" xfId="0" applyFont="1" applyFill="1" applyBorder="1"/>
    <xf numFmtId="164" fontId="6" fillId="5" borderId="22" xfId="0" applyNumberFormat="1" applyFont="1" applyFill="1" applyBorder="1"/>
    <xf numFmtId="0" fontId="6" fillId="5" borderId="21" xfId="0" applyFont="1" applyFill="1" applyBorder="1"/>
    <xf numFmtId="164" fontId="6" fillId="5" borderId="24" xfId="0" applyNumberFormat="1" applyFont="1" applyFill="1" applyBorder="1"/>
    <xf numFmtId="0" fontId="6" fillId="6" borderId="28" xfId="0" applyFont="1" applyFill="1" applyBorder="1"/>
    <xf numFmtId="0" fontId="6" fillId="6" borderId="22" xfId="0" applyFont="1" applyFill="1" applyBorder="1"/>
    <xf numFmtId="0" fontId="6" fillId="6" borderId="24" xfId="0" applyFont="1" applyFill="1" applyBorder="1"/>
    <xf numFmtId="49" fontId="4" fillId="2" borderId="14" xfId="0" applyNumberFormat="1" applyFont="1" applyFill="1" applyBorder="1" applyAlignment="1">
      <alignment horizontal="justify" vertical="top" wrapText="1"/>
    </xf>
    <xf numFmtId="0" fontId="6" fillId="4" borderId="2" xfId="0" applyFont="1" applyFill="1" applyBorder="1"/>
    <xf numFmtId="164" fontId="6" fillId="4" borderId="2" xfId="0" applyNumberFormat="1" applyFont="1" applyFill="1" applyBorder="1"/>
    <xf numFmtId="0" fontId="7" fillId="4" borderId="2" xfId="0" applyFont="1" applyFill="1" applyBorder="1"/>
    <xf numFmtId="164" fontId="6" fillId="0" borderId="2" xfId="0" applyNumberFormat="1" applyFont="1" applyFill="1" applyBorder="1"/>
    <xf numFmtId="164" fontId="7" fillId="4" borderId="2" xfId="0" applyNumberFormat="1" applyFont="1" applyFill="1" applyBorder="1"/>
    <xf numFmtId="49" fontId="4" fillId="0" borderId="2" xfId="0" applyNumberFormat="1" applyFont="1" applyBorder="1" applyAlignment="1">
      <alignment horizontal="justify" vertical="top" wrapText="1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13" fillId="0" borderId="13" xfId="0" applyNumberFormat="1" applyFont="1" applyBorder="1" applyAlignment="1">
      <alignment horizontal="justify" vertical="top" wrapText="1"/>
    </xf>
    <xf numFmtId="0" fontId="12" fillId="0" borderId="28" xfId="0" applyFont="1" applyBorder="1"/>
    <xf numFmtId="0" fontId="12" fillId="0" borderId="22" xfId="0" applyFont="1" applyBorder="1"/>
    <xf numFmtId="164" fontId="12" fillId="0" borderId="22" xfId="0" applyNumberFormat="1" applyFont="1" applyBorder="1"/>
    <xf numFmtId="164" fontId="12" fillId="0" borderId="24" xfId="0" applyNumberFormat="1" applyFont="1" applyBorder="1"/>
    <xf numFmtId="0" fontId="12" fillId="0" borderId="22" xfId="0" applyFont="1" applyFill="1" applyBorder="1"/>
    <xf numFmtId="164" fontId="12" fillId="0" borderId="22" xfId="0" applyNumberFormat="1" applyFont="1" applyFill="1" applyBorder="1"/>
    <xf numFmtId="164" fontId="12" fillId="0" borderId="24" xfId="0" applyNumberFormat="1" applyFont="1" applyFill="1" applyBorder="1"/>
    <xf numFmtId="0" fontId="12" fillId="0" borderId="28" xfId="0" applyFont="1" applyFill="1" applyBorder="1"/>
    <xf numFmtId="0" fontId="12" fillId="0" borderId="29" xfId="0" applyFont="1" applyFill="1" applyBorder="1"/>
    <xf numFmtId="0" fontId="12" fillId="0" borderId="21" xfId="0" applyFont="1" applyFill="1" applyBorder="1"/>
    <xf numFmtId="164" fontId="12" fillId="0" borderId="1" xfId="0" applyNumberFormat="1" applyFont="1" applyFill="1" applyBorder="1"/>
    <xf numFmtId="164" fontId="12" fillId="0" borderId="7" xfId="0" applyNumberFormat="1" applyFont="1" applyFill="1" applyBorder="1"/>
    <xf numFmtId="0" fontId="12" fillId="0" borderId="25" xfId="0" applyFont="1" applyFill="1" applyBorder="1"/>
    <xf numFmtId="0" fontId="12" fillId="0" borderId="15" xfId="0" applyFont="1" applyFill="1" applyBorder="1"/>
    <xf numFmtId="0" fontId="12" fillId="0" borderId="6" xfId="0" applyFont="1" applyBorder="1"/>
    <xf numFmtId="0" fontId="12" fillId="0" borderId="1" xfId="0" applyFont="1" applyBorder="1"/>
    <xf numFmtId="164" fontId="12" fillId="0" borderId="1" xfId="0" applyNumberFormat="1" applyFont="1" applyBorder="1"/>
    <xf numFmtId="164" fontId="12" fillId="0" borderId="7" xfId="0" applyNumberFormat="1" applyFont="1" applyBorder="1"/>
    <xf numFmtId="0" fontId="12" fillId="0" borderId="6" xfId="0" applyFont="1" applyFill="1" applyBorder="1"/>
    <xf numFmtId="0" fontId="12" fillId="0" borderId="26" xfId="0" applyFont="1" applyFill="1" applyBorder="1"/>
    <xf numFmtId="164" fontId="12" fillId="0" borderId="17" xfId="0" applyNumberFormat="1" applyFont="1" applyFill="1" applyBorder="1"/>
    <xf numFmtId="0" fontId="12" fillId="0" borderId="27" xfId="0" applyFont="1" applyFill="1" applyBorder="1"/>
    <xf numFmtId="164" fontId="12" fillId="0" borderId="18" xfId="0" applyNumberFormat="1" applyFont="1" applyFill="1" applyBorder="1"/>
    <xf numFmtId="0" fontId="12" fillId="0" borderId="16" xfId="0" applyFont="1" applyFill="1" applyBorder="1"/>
    <xf numFmtId="164" fontId="6" fillId="0" borderId="35" xfId="0" applyNumberFormat="1" applyFont="1" applyFill="1" applyBorder="1"/>
    <xf numFmtId="0" fontId="1" fillId="7" borderId="2" xfId="0" applyFont="1" applyFill="1" applyBorder="1" applyAlignment="1">
      <alignment horizontal="center" vertical="center"/>
    </xf>
    <xf numFmtId="49" fontId="4" fillId="7" borderId="2" xfId="0" applyNumberFormat="1" applyFont="1" applyFill="1" applyBorder="1" applyAlignment="1">
      <alignment horizontal="justify" vertical="top" wrapText="1"/>
    </xf>
    <xf numFmtId="0" fontId="6" fillId="7" borderId="6" xfId="0" applyFont="1" applyFill="1" applyBorder="1"/>
    <xf numFmtId="0" fontId="6" fillId="7" borderId="1" xfId="0" applyFont="1" applyFill="1" applyBorder="1"/>
    <xf numFmtId="164" fontId="6" fillId="7" borderId="1" xfId="0" applyNumberFormat="1" applyFont="1" applyFill="1" applyBorder="1"/>
    <xf numFmtId="164" fontId="6" fillId="7" borderId="7" xfId="0" applyNumberFormat="1" applyFont="1" applyFill="1" applyBorder="1"/>
    <xf numFmtId="0" fontId="6" fillId="7" borderId="8" xfId="0" applyFont="1" applyFill="1" applyBorder="1"/>
    <xf numFmtId="0" fontId="6" fillId="7" borderId="9" xfId="0" applyFont="1" applyFill="1" applyBorder="1"/>
    <xf numFmtId="164" fontId="6" fillId="7" borderId="9" xfId="0" applyNumberFormat="1" applyFont="1" applyFill="1" applyBorder="1"/>
    <xf numFmtId="164" fontId="6" fillId="7" borderId="10" xfId="0" applyNumberFormat="1" applyFont="1" applyFill="1" applyBorder="1"/>
    <xf numFmtId="3" fontId="15" fillId="0" borderId="0" xfId="0" applyNumberFormat="1" applyFont="1"/>
    <xf numFmtId="49" fontId="16" fillId="0" borderId="0" xfId="0" applyNumberFormat="1" applyFont="1" applyAlignment="1">
      <alignment horizontal="justify" vertical="top" wrapText="1"/>
    </xf>
    <xf numFmtId="0" fontId="16" fillId="0" borderId="0" xfId="0" applyFont="1"/>
    <xf numFmtId="3" fontId="16" fillId="0" borderId="0" xfId="0" applyNumberFormat="1" applyFont="1"/>
    <xf numFmtId="0" fontId="16" fillId="0" borderId="0" xfId="0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" fontId="16" fillId="0" borderId="0" xfId="0" applyNumberFormat="1" applyFont="1"/>
    <xf numFmtId="1" fontId="0" fillId="0" borderId="0" xfId="0" applyNumberFormat="1"/>
    <xf numFmtId="0" fontId="0" fillId="0" borderId="0" xfId="0" applyAlignment="1">
      <alignment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8" borderId="2" xfId="0" applyFont="1" applyFill="1" applyBorder="1" applyAlignment="1">
      <alignment horizontal="center" vertical="center"/>
    </xf>
    <xf numFmtId="0" fontId="0" fillId="0" borderId="42" xfId="0" applyBorder="1"/>
    <xf numFmtId="2" fontId="0" fillId="0" borderId="1" xfId="0" applyNumberFormat="1" applyBorder="1"/>
    <xf numFmtId="0" fontId="17" fillId="0" borderId="1" xfId="0" applyFont="1" applyBorder="1"/>
    <xf numFmtId="0" fontId="17" fillId="0" borderId="15" xfId="0" applyFont="1" applyBorder="1"/>
    <xf numFmtId="0" fontId="0" fillId="0" borderId="43" xfId="0" applyBorder="1"/>
    <xf numFmtId="0" fontId="9" fillId="0" borderId="23" xfId="0" applyFont="1" applyBorder="1" applyAlignment="1">
      <alignment horizontal="center" vertical="center" wrapText="1"/>
    </xf>
    <xf numFmtId="0" fontId="9" fillId="0" borderId="22" xfId="0" applyFont="1" applyBorder="1" applyAlignment="1">
      <alignment vertical="center" wrapText="1"/>
    </xf>
    <xf numFmtId="0" fontId="0" fillId="4" borderId="1" xfId="0" applyFill="1" applyBorder="1" applyAlignment="1">
      <alignment wrapText="1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1" fillId="0" borderId="11" xfId="0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justify" vertical="top" wrapText="1"/>
    </xf>
    <xf numFmtId="0" fontId="9" fillId="0" borderId="3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justify" vertical="top" wrapText="1"/>
    </xf>
    <xf numFmtId="0" fontId="1" fillId="0" borderId="2" xfId="0" applyFont="1" applyBorder="1" applyAlignment="1">
      <alignment horizontal="center" vertical="center"/>
    </xf>
    <xf numFmtId="0" fontId="0" fillId="0" borderId="42" xfId="0" applyBorder="1" applyAlignment="1">
      <alignment wrapText="1"/>
    </xf>
    <xf numFmtId="0" fontId="0" fillId="4" borderId="42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44" xfId="0" applyBorder="1"/>
    <xf numFmtId="0" fontId="0" fillId="0" borderId="15" xfId="0" applyBorder="1"/>
    <xf numFmtId="0" fontId="0" fillId="0" borderId="0" xfId="0" applyBorder="1"/>
    <xf numFmtId="0" fontId="0" fillId="0" borderId="21" xfId="0" applyBorder="1"/>
    <xf numFmtId="0" fontId="18" fillId="0" borderId="0" xfId="0" applyFont="1" applyAlignment="1">
      <alignment horizontal="center"/>
    </xf>
    <xf numFmtId="0" fontId="0" fillId="0" borderId="4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164" fontId="9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zanceva_aa\Desktop\&#1084;&#1086;&#1085;&#1080;&#1090;&#1086;&#1088;&#1080;&#1085;&#1075;\1%20&#1082;&#1074;&#1072;&#1088;&#1090;&#1072;&#108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zanceva_aa\Desktop\&#1084;&#1086;&#1085;&#1080;&#1090;&#1086;&#1088;&#1080;&#1085;&#1075;\2%20&#1082;&#1074;&#1072;&#1088;&#1090;&#1072;&#108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zanceva_aa\Desktop\&#1084;&#1086;&#1085;&#1080;&#1090;&#1086;&#1088;&#1080;&#1085;&#1075;\3%20&#1082;&#1074;&#1072;&#1088;&#1090;&#1072;&#108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zanceva_aa\Desktop\&#1084;&#1086;&#1085;&#1080;&#1090;&#1086;&#1088;&#1080;&#1085;&#1075;\4%20&#1082;&#1074;&#1072;&#1088;&#1090;&#1080;&#1072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0">
          <cell r="E100">
            <v>21847</v>
          </cell>
        </row>
        <row r="101">
          <cell r="E101">
            <v>704</v>
          </cell>
        </row>
        <row r="102">
          <cell r="E102">
            <v>17300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1">
          <cell r="E101">
            <v>10134</v>
          </cell>
        </row>
        <row r="102">
          <cell r="E102">
            <v>1280</v>
          </cell>
        </row>
        <row r="103">
          <cell r="E103">
            <v>6083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0">
          <cell r="E100">
            <v>8874</v>
          </cell>
        </row>
        <row r="101">
          <cell r="E101">
            <v>917</v>
          </cell>
        </row>
        <row r="102">
          <cell r="E102">
            <v>4767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0">
          <cell r="E100">
            <v>297098</v>
          </cell>
        </row>
        <row r="101">
          <cell r="E101">
            <v>1062</v>
          </cell>
        </row>
        <row r="102">
          <cell r="E102">
            <v>293186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13"/>
  <sheetViews>
    <sheetView topLeftCell="A2" zoomScale="80" zoomScaleNormal="80" workbookViewId="0">
      <pane xSplit="18" ySplit="2" topLeftCell="Y100" activePane="bottomRight" state="frozen"/>
      <selection activeCell="A2" sqref="A2"/>
      <selection pane="topRight" activeCell="S2" sqref="S2"/>
      <selection pane="bottomLeft" activeCell="A4" sqref="A4"/>
      <selection pane="bottomRight" activeCell="AE104" sqref="AE104"/>
    </sheetView>
  </sheetViews>
  <sheetFormatPr defaultRowHeight="15.75" x14ac:dyDescent="0.25"/>
  <cols>
    <col min="1" max="1" width="5.28515625" style="2" customWidth="1"/>
    <col min="2" max="2" width="5.28515625" style="137" customWidth="1"/>
    <col min="3" max="3" width="59.42578125" style="3" customWidth="1"/>
    <col min="4" max="4" width="11.28515625" hidden="1" customWidth="1"/>
    <col min="5" max="6" width="9" hidden="1" customWidth="1"/>
    <col min="7" max="7" width="11.28515625" hidden="1" customWidth="1"/>
    <col min="8" max="8" width="9.7109375" hidden="1" customWidth="1"/>
    <col min="9" max="9" width="11.28515625" hidden="1" customWidth="1"/>
    <col min="10" max="10" width="9.5703125" hidden="1" customWidth="1"/>
    <col min="11" max="11" width="10.5703125" hidden="1" customWidth="1"/>
    <col min="12" max="12" width="9.5703125" hidden="1" customWidth="1"/>
    <col min="13" max="13" width="10.5703125" hidden="1" customWidth="1"/>
    <col min="14" max="14" width="9.5703125" hidden="1" customWidth="1"/>
    <col min="15" max="16" width="9" hidden="1" customWidth="1"/>
    <col min="17" max="17" width="9.5703125" hidden="1" customWidth="1"/>
    <col min="18" max="18" width="10.42578125" hidden="1" customWidth="1"/>
    <col min="19" max="19" width="12.7109375" bestFit="1" customWidth="1"/>
    <col min="20" max="20" width="13.7109375" bestFit="1" customWidth="1"/>
    <col min="21" max="21" width="13.42578125" customWidth="1"/>
    <col min="22" max="22" width="15.140625" customWidth="1"/>
    <col min="23" max="23" width="13.7109375" customWidth="1"/>
    <col min="24" max="24" width="13.28515625" bestFit="1" customWidth="1"/>
    <col min="25" max="25" width="14.85546875" customWidth="1"/>
    <col min="26" max="26" width="11.5703125" bestFit="1" customWidth="1"/>
    <col min="27" max="27" width="15.42578125" bestFit="1" customWidth="1"/>
    <col min="28" max="28" width="13.28515625" bestFit="1" customWidth="1"/>
    <col min="29" max="29" width="13.7109375" bestFit="1" customWidth="1"/>
    <col min="30" max="30" width="11.7109375" customWidth="1"/>
    <col min="31" max="31" width="12.28515625" customWidth="1"/>
    <col min="32" max="32" width="15.42578125" bestFit="1" customWidth="1"/>
    <col min="33" max="33" width="13.28515625" customWidth="1"/>
  </cols>
  <sheetData>
    <row r="1" spans="1:35" ht="16.149999999999999" thickBot="1" x14ac:dyDescent="0.35"/>
    <row r="2" spans="1:35" ht="14.65" customHeight="1" thickBot="1" x14ac:dyDescent="0.3">
      <c r="A2" s="238" t="s">
        <v>0</v>
      </c>
      <c r="B2" s="138"/>
      <c r="C2" s="239" t="s">
        <v>1</v>
      </c>
      <c r="D2" s="233" t="s">
        <v>109</v>
      </c>
      <c r="E2" s="234"/>
      <c r="F2" s="234"/>
      <c r="G2" s="234"/>
      <c r="H2" s="235"/>
      <c r="I2" s="233" t="s">
        <v>108</v>
      </c>
      <c r="J2" s="234"/>
      <c r="K2" s="234"/>
      <c r="L2" s="234"/>
      <c r="M2" s="235"/>
      <c r="N2" s="233" t="s">
        <v>107</v>
      </c>
      <c r="O2" s="234"/>
      <c r="P2" s="234"/>
      <c r="Q2" s="234"/>
      <c r="R2" s="235"/>
      <c r="S2" s="233" t="s">
        <v>114</v>
      </c>
      <c r="T2" s="234"/>
      <c r="U2" s="234"/>
      <c r="V2" s="234"/>
      <c r="W2" s="235"/>
      <c r="X2" s="230" t="s">
        <v>134</v>
      </c>
      <c r="Y2" s="231"/>
      <c r="Z2" s="231"/>
      <c r="AA2" s="231"/>
      <c r="AB2" s="232"/>
      <c r="AC2" s="233" t="s">
        <v>135</v>
      </c>
      <c r="AD2" s="234"/>
      <c r="AE2" s="234"/>
      <c r="AF2" s="234"/>
      <c r="AG2" s="235"/>
    </row>
    <row r="3" spans="1:35" ht="60.75" thickBot="1" x14ac:dyDescent="0.3">
      <c r="A3" s="238"/>
      <c r="B3" s="139"/>
      <c r="C3" s="239"/>
      <c r="D3" s="7" t="s">
        <v>2</v>
      </c>
      <c r="E3" s="1" t="s">
        <v>3</v>
      </c>
      <c r="F3" s="1" t="s">
        <v>4</v>
      </c>
      <c r="G3" s="1" t="s">
        <v>5</v>
      </c>
      <c r="H3" s="8" t="s">
        <v>6</v>
      </c>
      <c r="I3" s="7" t="s">
        <v>2</v>
      </c>
      <c r="J3" s="1" t="s">
        <v>3</v>
      </c>
      <c r="K3" s="1" t="s">
        <v>4</v>
      </c>
      <c r="L3" s="1" t="s">
        <v>5</v>
      </c>
      <c r="M3" s="8" t="s">
        <v>6</v>
      </c>
      <c r="N3" s="7" t="s">
        <v>2</v>
      </c>
      <c r="O3" s="1" t="s">
        <v>3</v>
      </c>
      <c r="P3" s="1" t="s">
        <v>4</v>
      </c>
      <c r="Q3" s="1" t="s">
        <v>5</v>
      </c>
      <c r="R3" s="8" t="s">
        <v>6</v>
      </c>
      <c r="S3" s="88" t="s">
        <v>2</v>
      </c>
      <c r="T3" s="1" t="s">
        <v>3</v>
      </c>
      <c r="U3" s="1" t="s">
        <v>4</v>
      </c>
      <c r="V3" s="91" t="s">
        <v>5</v>
      </c>
      <c r="W3" s="8" t="s">
        <v>6</v>
      </c>
      <c r="X3" s="7" t="s">
        <v>2</v>
      </c>
      <c r="Y3" s="1" t="s">
        <v>3</v>
      </c>
      <c r="Z3" s="1" t="s">
        <v>4</v>
      </c>
      <c r="AA3" s="1" t="s">
        <v>5</v>
      </c>
      <c r="AB3" s="8" t="s">
        <v>6</v>
      </c>
      <c r="AC3" s="7" t="s">
        <v>2</v>
      </c>
      <c r="AD3" s="1" t="s">
        <v>3</v>
      </c>
      <c r="AE3" s="1" t="s">
        <v>4</v>
      </c>
      <c r="AF3" s="1" t="s">
        <v>5</v>
      </c>
      <c r="AG3" s="8" t="s">
        <v>6</v>
      </c>
    </row>
    <row r="4" spans="1:35" ht="63.75" customHeight="1" thickBot="1" x14ac:dyDescent="0.35">
      <c r="A4" s="51">
        <v>77</v>
      </c>
      <c r="B4" s="57" t="s">
        <v>104</v>
      </c>
      <c r="C4" s="50" t="s">
        <v>82</v>
      </c>
      <c r="D4" s="24">
        <v>83</v>
      </c>
      <c r="E4" s="25">
        <v>0</v>
      </c>
      <c r="F4" s="26">
        <f>E4*100/D4</f>
        <v>0</v>
      </c>
      <c r="G4" s="25">
        <v>83</v>
      </c>
      <c r="H4" s="27">
        <f>G4*100/D4</f>
        <v>100</v>
      </c>
      <c r="I4" s="24">
        <v>56</v>
      </c>
      <c r="J4" s="29">
        <v>0</v>
      </c>
      <c r="K4" s="28">
        <f>J4*100/I4</f>
        <v>0</v>
      </c>
      <c r="L4" s="29">
        <v>0</v>
      </c>
      <c r="M4" s="30">
        <f>L4*100/I4</f>
        <v>0</v>
      </c>
      <c r="N4" s="31">
        <v>259</v>
      </c>
      <c r="O4" s="29">
        <v>0</v>
      </c>
      <c r="P4" s="28">
        <f>O4*100/N4</f>
        <v>0</v>
      </c>
      <c r="Q4" s="29">
        <v>0</v>
      </c>
      <c r="R4" s="30">
        <f>Q4*100/N4</f>
        <v>0</v>
      </c>
      <c r="S4" s="89">
        <f>83+56+259</f>
        <v>398</v>
      </c>
      <c r="T4" s="29"/>
      <c r="U4" s="28">
        <f t="shared" ref="U4:U6" si="0">T4*100/S4</f>
        <v>0</v>
      </c>
      <c r="V4" s="58">
        <f>83</f>
        <v>83</v>
      </c>
      <c r="W4" s="30">
        <f t="shared" ref="W4:W6" si="1">V4*100/S4</f>
        <v>20.854271356783919</v>
      </c>
      <c r="X4" s="31"/>
      <c r="Y4" s="29"/>
      <c r="Z4" s="28"/>
      <c r="AA4" s="29"/>
      <c r="AB4" s="30"/>
      <c r="AC4" s="89">
        <f>X4+S4</f>
        <v>398</v>
      </c>
      <c r="AD4" s="29">
        <f>Y4+T4</f>
        <v>0</v>
      </c>
      <c r="AE4" s="28">
        <f t="shared" ref="AE4" si="2">AD4*100/AC4</f>
        <v>0</v>
      </c>
      <c r="AF4" s="58">
        <f>AA4+V4</f>
        <v>83</v>
      </c>
      <c r="AG4" s="30">
        <f t="shared" ref="AG4" si="3">AF4*100/AC4</f>
        <v>20.854271356783919</v>
      </c>
      <c r="AH4" s="4"/>
      <c r="AI4" s="4"/>
    </row>
    <row r="5" spans="1:35" ht="98.25" customHeight="1" thickBot="1" x14ac:dyDescent="0.35">
      <c r="A5" s="51">
        <v>78</v>
      </c>
      <c r="B5" s="57" t="s">
        <v>104</v>
      </c>
      <c r="C5" s="50" t="s">
        <v>83</v>
      </c>
      <c r="D5" s="24">
        <v>0</v>
      </c>
      <c r="E5" s="25">
        <v>0</v>
      </c>
      <c r="F5" s="26"/>
      <c r="G5" s="25">
        <v>0</v>
      </c>
      <c r="H5" s="27"/>
      <c r="I5" s="24">
        <v>0</v>
      </c>
      <c r="J5" s="29">
        <v>0</v>
      </c>
      <c r="K5" s="28"/>
      <c r="L5" s="29">
        <v>0</v>
      </c>
      <c r="M5" s="30"/>
      <c r="N5" s="31">
        <v>0</v>
      </c>
      <c r="O5" s="29">
        <v>0</v>
      </c>
      <c r="P5" s="28"/>
      <c r="Q5" s="29">
        <v>0</v>
      </c>
      <c r="R5" s="30"/>
      <c r="S5" s="89"/>
      <c r="T5" s="29"/>
      <c r="U5" s="28"/>
      <c r="V5" s="58"/>
      <c r="W5" s="30"/>
      <c r="X5" s="31"/>
      <c r="Y5" s="29"/>
      <c r="Z5" s="28"/>
      <c r="AA5" s="29"/>
      <c r="AB5" s="30"/>
      <c r="AC5" s="89">
        <f t="shared" ref="AC5:AC9" si="4">X5+S5</f>
        <v>0</v>
      </c>
      <c r="AD5" s="29">
        <f t="shared" ref="AD5:AD10" si="5">Y5+T5</f>
        <v>0</v>
      </c>
      <c r="AE5" s="28"/>
      <c r="AF5" s="58">
        <f t="shared" ref="AF5:AF9" si="6">AA5+V5</f>
        <v>0</v>
      </c>
      <c r="AG5" s="30"/>
      <c r="AH5" s="4"/>
      <c r="AI5" s="4"/>
    </row>
    <row r="6" spans="1:35" ht="66.75" customHeight="1" thickBot="1" x14ac:dyDescent="0.35">
      <c r="A6" s="51">
        <v>79</v>
      </c>
      <c r="B6" s="57" t="s">
        <v>104</v>
      </c>
      <c r="C6" s="50" t="s">
        <v>84</v>
      </c>
      <c r="D6" s="24">
        <v>0</v>
      </c>
      <c r="E6" s="25">
        <v>0</v>
      </c>
      <c r="F6" s="26"/>
      <c r="G6" s="25">
        <v>0</v>
      </c>
      <c r="H6" s="27"/>
      <c r="I6" s="24">
        <v>10</v>
      </c>
      <c r="J6" s="29">
        <v>0</v>
      </c>
      <c r="K6" s="28">
        <f>J6*100/I6</f>
        <v>0</v>
      </c>
      <c r="L6" s="29">
        <v>0</v>
      </c>
      <c r="M6" s="30">
        <f>L6*100/I6</f>
        <v>0</v>
      </c>
      <c r="N6" s="31">
        <v>350</v>
      </c>
      <c r="O6" s="29">
        <v>0</v>
      </c>
      <c r="P6" s="28">
        <f>O6*100/N6</f>
        <v>0</v>
      </c>
      <c r="Q6" s="29">
        <v>0</v>
      </c>
      <c r="R6" s="30">
        <f>Q6*100/N6</f>
        <v>0</v>
      </c>
      <c r="S6" s="89">
        <f>0+10+350</f>
        <v>360</v>
      </c>
      <c r="T6" s="29"/>
      <c r="U6" s="28">
        <f t="shared" si="0"/>
        <v>0</v>
      </c>
      <c r="V6" s="58"/>
      <c r="W6" s="30">
        <f t="shared" si="1"/>
        <v>0</v>
      </c>
      <c r="X6" s="31"/>
      <c r="Y6" s="29"/>
      <c r="Z6" s="28"/>
      <c r="AA6" s="29"/>
      <c r="AB6" s="30"/>
      <c r="AC6" s="89">
        <f t="shared" si="4"/>
        <v>360</v>
      </c>
      <c r="AD6" s="29">
        <f t="shared" si="5"/>
        <v>0</v>
      </c>
      <c r="AE6" s="28">
        <f t="shared" ref="AE6:AE10" si="7">AD6*100/AC6</f>
        <v>0</v>
      </c>
      <c r="AF6" s="58">
        <f t="shared" si="6"/>
        <v>0</v>
      </c>
      <c r="AG6" s="30">
        <f t="shared" ref="AG6:AG10" si="8">AF6*100/AC6</f>
        <v>0</v>
      </c>
      <c r="AH6" s="4"/>
      <c r="AI6" s="4"/>
    </row>
    <row r="7" spans="1:35" ht="48" customHeight="1" thickBot="1" x14ac:dyDescent="0.35">
      <c r="A7" s="51">
        <v>80</v>
      </c>
      <c r="B7" s="57" t="s">
        <v>104</v>
      </c>
      <c r="C7" s="50" t="s">
        <v>85</v>
      </c>
      <c r="D7" s="24">
        <v>13375</v>
      </c>
      <c r="E7" s="25">
        <v>0</v>
      </c>
      <c r="F7" s="26">
        <f>E7*100/D7</f>
        <v>0</v>
      </c>
      <c r="G7" s="25">
        <v>13375</v>
      </c>
      <c r="H7" s="27">
        <f>G7*100/D7</f>
        <v>100</v>
      </c>
      <c r="I7" s="24">
        <v>3748</v>
      </c>
      <c r="J7" s="29">
        <v>0</v>
      </c>
      <c r="K7" s="28">
        <f>J7*100/I7</f>
        <v>0</v>
      </c>
      <c r="L7" s="29">
        <v>3748</v>
      </c>
      <c r="M7" s="30">
        <f>L7*100/I7</f>
        <v>100</v>
      </c>
      <c r="N7" s="31">
        <v>1098</v>
      </c>
      <c r="O7" s="29">
        <v>0</v>
      </c>
      <c r="P7" s="28">
        <f>O7*100/N7</f>
        <v>0</v>
      </c>
      <c r="Q7" s="29">
        <v>1098</v>
      </c>
      <c r="R7" s="30">
        <f>Q7*100/N7</f>
        <v>100</v>
      </c>
      <c r="S7" s="89">
        <f>13375+3748+1048</f>
        <v>18171</v>
      </c>
      <c r="T7" s="29"/>
      <c r="U7" s="28">
        <f>T7*100/S7</f>
        <v>0</v>
      </c>
      <c r="V7" s="58">
        <f>13375+3748+1048</f>
        <v>18171</v>
      </c>
      <c r="W7" s="30">
        <f>V7*100/S7</f>
        <v>100</v>
      </c>
      <c r="X7" s="31">
        <v>289483</v>
      </c>
      <c r="Y7" s="29"/>
      <c r="Z7" s="28">
        <f>Y7*100/X7</f>
        <v>0</v>
      </c>
      <c r="AA7" s="29">
        <v>289483</v>
      </c>
      <c r="AB7" s="30">
        <f>AA7*100/X7</f>
        <v>100</v>
      </c>
      <c r="AC7" s="89">
        <f t="shared" si="4"/>
        <v>307654</v>
      </c>
      <c r="AD7" s="29">
        <f t="shared" si="5"/>
        <v>0</v>
      </c>
      <c r="AE7" s="28">
        <f t="shared" si="7"/>
        <v>0</v>
      </c>
      <c r="AF7" s="58">
        <f t="shared" si="6"/>
        <v>307654</v>
      </c>
      <c r="AG7" s="30">
        <f t="shared" si="8"/>
        <v>100</v>
      </c>
      <c r="AH7" s="4"/>
      <c r="AI7" s="4"/>
    </row>
    <row r="8" spans="1:35" ht="18.75" customHeight="1" thickBot="1" x14ac:dyDescent="0.35">
      <c r="A8" s="10">
        <v>81</v>
      </c>
      <c r="B8" s="57" t="s">
        <v>104</v>
      </c>
      <c r="C8" s="11" t="s">
        <v>86</v>
      </c>
      <c r="D8" s="20">
        <v>1126</v>
      </c>
      <c r="E8" s="21">
        <v>27</v>
      </c>
      <c r="F8" s="22">
        <f>E8*100/D8</f>
        <v>2.3978685612788633</v>
      </c>
      <c r="G8" s="21">
        <v>475</v>
      </c>
      <c r="H8" s="23">
        <f>G8*100/D8</f>
        <v>42.184724689165186</v>
      </c>
      <c r="I8" s="20">
        <v>110</v>
      </c>
      <c r="J8" s="21">
        <v>0</v>
      </c>
      <c r="K8" s="22">
        <f>J8*100/I8</f>
        <v>0</v>
      </c>
      <c r="L8" s="21">
        <v>0</v>
      </c>
      <c r="M8" s="23">
        <f>L8*100/I8</f>
        <v>0</v>
      </c>
      <c r="N8" s="20">
        <v>200</v>
      </c>
      <c r="O8" s="21">
        <v>0</v>
      </c>
      <c r="P8" s="22">
        <f>O8*100/N8</f>
        <v>0</v>
      </c>
      <c r="Q8" s="21">
        <v>0</v>
      </c>
      <c r="R8" s="23">
        <f>Q8*100/N8</f>
        <v>0</v>
      </c>
      <c r="S8" s="90">
        <f>1126+110+200</f>
        <v>1436</v>
      </c>
      <c r="T8" s="21">
        <f>27</f>
        <v>27</v>
      </c>
      <c r="U8" s="22">
        <f>T8*100/S8</f>
        <v>1.8802228412256268</v>
      </c>
      <c r="V8" s="92">
        <f>475</f>
        <v>475</v>
      </c>
      <c r="W8" s="23">
        <f>V8*100/S8</f>
        <v>33.077994428969362</v>
      </c>
      <c r="X8" s="20"/>
      <c r="Y8" s="21"/>
      <c r="Z8" s="22"/>
      <c r="AA8" s="21"/>
      <c r="AB8" s="23"/>
      <c r="AC8" s="90">
        <f>X8+S8</f>
        <v>1436</v>
      </c>
      <c r="AD8" s="21">
        <f t="shared" si="5"/>
        <v>27</v>
      </c>
      <c r="AE8" s="22">
        <f t="shared" si="7"/>
        <v>1.8802228412256268</v>
      </c>
      <c r="AF8" s="92">
        <f t="shared" si="6"/>
        <v>475</v>
      </c>
      <c r="AG8" s="23">
        <f t="shared" si="8"/>
        <v>33.077994428969362</v>
      </c>
    </row>
    <row r="9" spans="1:35" ht="37.5" customHeight="1" thickBot="1" x14ac:dyDescent="0.35">
      <c r="A9" s="10">
        <v>82</v>
      </c>
      <c r="B9" s="57" t="s">
        <v>104</v>
      </c>
      <c r="C9" s="11" t="s">
        <v>87</v>
      </c>
      <c r="D9" s="20">
        <v>0</v>
      </c>
      <c r="E9" s="21">
        <v>0</v>
      </c>
      <c r="F9" s="22"/>
      <c r="G9" s="21">
        <v>0</v>
      </c>
      <c r="H9" s="23"/>
      <c r="I9" s="20">
        <v>98</v>
      </c>
      <c r="J9" s="21">
        <v>98</v>
      </c>
      <c r="K9" s="22">
        <f>J9*100/I9</f>
        <v>100</v>
      </c>
      <c r="L9" s="21">
        <v>0</v>
      </c>
      <c r="M9" s="23">
        <f>L9*100/I9</f>
        <v>0</v>
      </c>
      <c r="N9" s="20">
        <v>0</v>
      </c>
      <c r="O9" s="21">
        <v>0</v>
      </c>
      <c r="P9" s="22"/>
      <c r="Q9" s="21">
        <v>0</v>
      </c>
      <c r="R9" s="23"/>
      <c r="S9" s="90">
        <f>0+98</f>
        <v>98</v>
      </c>
      <c r="T9" s="21">
        <f>0+98</f>
        <v>98</v>
      </c>
      <c r="U9" s="22">
        <f t="shared" ref="U9:U10" si="9">T9*100/S9</f>
        <v>100</v>
      </c>
      <c r="V9" s="92"/>
      <c r="W9" s="23">
        <f t="shared" ref="W9:W10" si="10">V9*100/S9</f>
        <v>0</v>
      </c>
      <c r="X9" s="20">
        <v>554</v>
      </c>
      <c r="Y9" s="21">
        <v>0</v>
      </c>
      <c r="Z9" s="22">
        <f t="shared" ref="Z9" si="11">Y9*100/X9</f>
        <v>0</v>
      </c>
      <c r="AA9" s="21"/>
      <c r="AB9" s="23"/>
      <c r="AC9" s="90">
        <f t="shared" si="4"/>
        <v>652</v>
      </c>
      <c r="AD9" s="21">
        <f t="shared" si="5"/>
        <v>98</v>
      </c>
      <c r="AE9" s="22">
        <f t="shared" si="7"/>
        <v>15.030674846625766</v>
      </c>
      <c r="AF9" s="92">
        <f t="shared" si="6"/>
        <v>0</v>
      </c>
      <c r="AG9" s="23">
        <f t="shared" si="8"/>
        <v>0</v>
      </c>
    </row>
    <row r="10" spans="1:35" ht="66" customHeight="1" thickBot="1" x14ac:dyDescent="0.35">
      <c r="A10" s="10">
        <v>83</v>
      </c>
      <c r="B10" s="57" t="s">
        <v>104</v>
      </c>
      <c r="C10" s="162" t="s">
        <v>88</v>
      </c>
      <c r="D10" s="128">
        <v>334</v>
      </c>
      <c r="E10" s="124">
        <v>31</v>
      </c>
      <c r="F10" s="125">
        <f>E10*100/D10</f>
        <v>9.2814371257485035</v>
      </c>
      <c r="G10" s="124">
        <v>108</v>
      </c>
      <c r="H10" s="127">
        <f>G10*100/D10</f>
        <v>32.335329341317369</v>
      </c>
      <c r="I10" s="128">
        <v>310</v>
      </c>
      <c r="J10" s="124">
        <v>43</v>
      </c>
      <c r="K10" s="125">
        <f>J10*100/I10</f>
        <v>13.870967741935484</v>
      </c>
      <c r="L10" s="124">
        <v>44</v>
      </c>
      <c r="M10" s="127">
        <f>L10*100/I10</f>
        <v>14.193548387096774</v>
      </c>
      <c r="N10" s="128">
        <v>403</v>
      </c>
      <c r="O10" s="124">
        <v>39</v>
      </c>
      <c r="P10" s="125">
        <f>O10*100/N10</f>
        <v>9.67741935483871</v>
      </c>
      <c r="Q10" s="124">
        <v>119</v>
      </c>
      <c r="R10" s="127">
        <f>Q10*100/N10</f>
        <v>29.528535980148884</v>
      </c>
      <c r="S10" s="123">
        <f>334+310+403</f>
        <v>1047</v>
      </c>
      <c r="T10" s="124">
        <f>31+43+39</f>
        <v>113</v>
      </c>
      <c r="U10" s="125">
        <f t="shared" si="9"/>
        <v>10.792741165234002</v>
      </c>
      <c r="V10" s="126">
        <f>0+44+119</f>
        <v>163</v>
      </c>
      <c r="W10" s="127">
        <f t="shared" si="10"/>
        <v>15.56829035339064</v>
      </c>
      <c r="X10" s="128">
        <v>150</v>
      </c>
      <c r="Y10" s="124">
        <v>29</v>
      </c>
      <c r="Z10" s="125">
        <f t="shared" ref="Z10" si="12">Y10*100/X10</f>
        <v>19.333333333333332</v>
      </c>
      <c r="AA10" s="124">
        <v>113</v>
      </c>
      <c r="AB10" s="127">
        <f t="shared" ref="AB10" si="13">AA10*100/X10</f>
        <v>75.333333333333329</v>
      </c>
      <c r="AC10" s="90">
        <f>X10+S10</f>
        <v>1197</v>
      </c>
      <c r="AD10" s="21">
        <f t="shared" si="5"/>
        <v>142</v>
      </c>
      <c r="AE10" s="22">
        <f t="shared" si="7"/>
        <v>11.862990810359232</v>
      </c>
      <c r="AF10" s="92">
        <f>AA10+V10</f>
        <v>276</v>
      </c>
      <c r="AG10" s="23">
        <f t="shared" si="8"/>
        <v>23.057644110275689</v>
      </c>
    </row>
    <row r="11" spans="1:35" s="76" customFormat="1" ht="21" customHeight="1" thickBot="1" x14ac:dyDescent="0.35">
      <c r="A11" s="75"/>
      <c r="B11" s="57"/>
      <c r="C11" s="77" t="s">
        <v>118</v>
      </c>
      <c r="D11" s="163"/>
      <c r="E11" s="163"/>
      <c r="F11" s="164"/>
      <c r="G11" s="163"/>
      <c r="H11" s="164"/>
      <c r="I11" s="163"/>
      <c r="J11" s="163"/>
      <c r="K11" s="164"/>
      <c r="L11" s="163"/>
      <c r="M11" s="164"/>
      <c r="N11" s="163"/>
      <c r="O11" s="163"/>
      <c r="P11" s="164"/>
      <c r="Q11" s="163"/>
      <c r="R11" s="164"/>
      <c r="S11" s="165">
        <f>SUM(S4:S10)</f>
        <v>21510</v>
      </c>
      <c r="T11" s="165">
        <f>SUM(T4:T10)</f>
        <v>238</v>
      </c>
      <c r="U11" s="166">
        <f>T11*100/(S8+S9+S10)</f>
        <v>9.2212320805889192</v>
      </c>
      <c r="V11" s="165">
        <f>SUM(V4:V10)</f>
        <v>18892</v>
      </c>
      <c r="W11" s="166">
        <f>V11*100/S11</f>
        <v>87.828916782891682</v>
      </c>
      <c r="X11" s="165">
        <f>SUM(X4:X10)</f>
        <v>290187</v>
      </c>
      <c r="Y11" s="165">
        <f>SUM(Y4:Y10)</f>
        <v>29</v>
      </c>
      <c r="Z11" s="166">
        <f>Y11*100/(X8+X9+X10)</f>
        <v>4.1193181818181817</v>
      </c>
      <c r="AA11" s="165">
        <f>SUM(AA4:AA10)</f>
        <v>289596</v>
      </c>
      <c r="AB11" s="166">
        <f>AA11*100/X11</f>
        <v>99.796338223283612</v>
      </c>
      <c r="AC11" s="165">
        <f>SUM(AC4:AC10)</f>
        <v>311697</v>
      </c>
      <c r="AD11" s="165">
        <f>SUM(AD4:AD10)</f>
        <v>267</v>
      </c>
      <c r="AE11" s="166">
        <f>AD11*100/(AC8+AC9+AC10)</f>
        <v>8.1278538812785381</v>
      </c>
      <c r="AF11" s="165">
        <f>SUM(AF4:AF10)</f>
        <v>308488</v>
      </c>
      <c r="AG11" s="166">
        <f>AF11*100/AC11</f>
        <v>98.970474531355777</v>
      </c>
    </row>
    <row r="12" spans="1:35" ht="36.75" customHeight="1" thickBot="1" x14ac:dyDescent="0.35">
      <c r="A12" s="171">
        <v>73</v>
      </c>
      <c r="B12" s="170" t="s">
        <v>103</v>
      </c>
      <c r="C12" s="172" t="s">
        <v>78</v>
      </c>
      <c r="D12" s="173">
        <v>41</v>
      </c>
      <c r="E12" s="174">
        <v>0</v>
      </c>
      <c r="F12" s="175">
        <f>E12*100/D12</f>
        <v>0</v>
      </c>
      <c r="G12" s="174">
        <v>27</v>
      </c>
      <c r="H12" s="176">
        <f>G12*100/D12</f>
        <v>65.853658536585371</v>
      </c>
      <c r="I12" s="173">
        <v>10</v>
      </c>
      <c r="J12" s="177">
        <v>0</v>
      </c>
      <c r="K12" s="178">
        <f>J12*100/I12</f>
        <v>0</v>
      </c>
      <c r="L12" s="177">
        <v>0</v>
      </c>
      <c r="M12" s="179">
        <f>L12*100/I12</f>
        <v>0</v>
      </c>
      <c r="N12" s="180">
        <v>16</v>
      </c>
      <c r="O12" s="177">
        <v>0</v>
      </c>
      <c r="P12" s="178">
        <f>O12*100/N12</f>
        <v>0</v>
      </c>
      <c r="Q12" s="177">
        <v>0</v>
      </c>
      <c r="R12" s="179">
        <f>Q12*100/N12</f>
        <v>0</v>
      </c>
      <c r="S12" s="181">
        <f>41+0+16</f>
        <v>57</v>
      </c>
      <c r="T12" s="177"/>
      <c r="U12" s="178">
        <f t="shared" ref="U12:U25" si="14">T12*100/S12</f>
        <v>0</v>
      </c>
      <c r="V12" s="182">
        <f>27+0+0</f>
        <v>27</v>
      </c>
      <c r="W12" s="179">
        <f t="shared" ref="W12:W25" si="15">V12*100/S12</f>
        <v>47.368421052631582</v>
      </c>
      <c r="X12" s="180">
        <v>41</v>
      </c>
      <c r="Y12" s="177"/>
      <c r="Z12" s="183">
        <f t="shared" ref="Z12:Z27" si="16">Y12*100/X12</f>
        <v>0</v>
      </c>
      <c r="AA12" s="177">
        <v>39</v>
      </c>
      <c r="AB12" s="184">
        <f t="shared" ref="AB12:AB27" si="17">AA12*100/X12</f>
        <v>95.121951219512198</v>
      </c>
      <c r="AC12" s="185">
        <f t="shared" ref="AC12:AC27" si="18">X12+S12</f>
        <v>98</v>
      </c>
      <c r="AD12" s="130">
        <f t="shared" ref="AD12:AD25" si="19">Y12+T12</f>
        <v>0</v>
      </c>
      <c r="AE12" s="183">
        <f t="shared" ref="AE12:AE25" si="20">AD12*100/AC12</f>
        <v>0</v>
      </c>
      <c r="AF12" s="186">
        <f t="shared" ref="AF12:AF25" si="21">AA12+V12</f>
        <v>66</v>
      </c>
      <c r="AG12" s="184">
        <f t="shared" ref="AG12:AG25" si="22">AF12*100/AC12</f>
        <v>67.34693877551021</v>
      </c>
      <c r="AH12" s="4"/>
      <c r="AI12" s="4"/>
    </row>
    <row r="13" spans="1:35" ht="32.25" thickBot="1" x14ac:dyDescent="0.35">
      <c r="A13" s="171">
        <v>74</v>
      </c>
      <c r="B13" s="170" t="s">
        <v>103</v>
      </c>
      <c r="C13" s="132" t="s">
        <v>79</v>
      </c>
      <c r="D13" s="187">
        <v>0</v>
      </c>
      <c r="E13" s="188">
        <v>0</v>
      </c>
      <c r="F13" s="189"/>
      <c r="G13" s="188">
        <v>0</v>
      </c>
      <c r="H13" s="190"/>
      <c r="I13" s="187">
        <v>0</v>
      </c>
      <c r="J13" s="130">
        <v>0</v>
      </c>
      <c r="K13" s="183"/>
      <c r="L13" s="130">
        <v>0</v>
      </c>
      <c r="M13" s="184"/>
      <c r="N13" s="191">
        <v>0</v>
      </c>
      <c r="O13" s="130">
        <v>0</v>
      </c>
      <c r="P13" s="183"/>
      <c r="Q13" s="130">
        <v>0</v>
      </c>
      <c r="R13" s="184"/>
      <c r="S13" s="185"/>
      <c r="T13" s="130"/>
      <c r="U13" s="183"/>
      <c r="V13" s="186"/>
      <c r="W13" s="184"/>
      <c r="X13" s="191"/>
      <c r="Y13" s="130"/>
      <c r="Z13" s="183"/>
      <c r="AA13" s="130"/>
      <c r="AB13" s="184"/>
      <c r="AC13" s="185">
        <f t="shared" si="18"/>
        <v>0</v>
      </c>
      <c r="AD13" s="130">
        <f t="shared" si="19"/>
        <v>0</v>
      </c>
      <c r="AE13" s="183"/>
      <c r="AF13" s="186">
        <f t="shared" si="21"/>
        <v>0</v>
      </c>
      <c r="AG13" s="184"/>
      <c r="AH13" s="4"/>
      <c r="AI13" s="4"/>
    </row>
    <row r="14" spans="1:35" ht="68.25" customHeight="1" thickBot="1" x14ac:dyDescent="0.35">
      <c r="A14" s="171">
        <v>75</v>
      </c>
      <c r="B14" s="170" t="s">
        <v>103</v>
      </c>
      <c r="C14" s="132" t="s">
        <v>80</v>
      </c>
      <c r="D14" s="187">
        <v>4047</v>
      </c>
      <c r="E14" s="188">
        <v>0</v>
      </c>
      <c r="F14" s="189">
        <f>E14*100/D14</f>
        <v>0</v>
      </c>
      <c r="G14" s="188">
        <v>3223</v>
      </c>
      <c r="H14" s="190">
        <f>G14*100/D14</f>
        <v>79.639238942426488</v>
      </c>
      <c r="I14" s="187">
        <v>2403</v>
      </c>
      <c r="J14" s="130">
        <v>0</v>
      </c>
      <c r="K14" s="183">
        <f>J14*100/I14</f>
        <v>0</v>
      </c>
      <c r="L14" s="130">
        <v>2267</v>
      </c>
      <c r="M14" s="184">
        <f>L14*100/I14</f>
        <v>94.340407823553889</v>
      </c>
      <c r="N14" s="191">
        <v>3801</v>
      </c>
      <c r="O14" s="130">
        <v>0</v>
      </c>
      <c r="P14" s="183">
        <f>O14*100/N14</f>
        <v>0</v>
      </c>
      <c r="Q14" s="130">
        <v>3542</v>
      </c>
      <c r="R14" s="184">
        <f>Q14*100/N14</f>
        <v>93.186003683241253</v>
      </c>
      <c r="S14" s="185">
        <f>4017+2403+3901</f>
        <v>10321</v>
      </c>
      <c r="T14" s="130"/>
      <c r="U14" s="183">
        <f t="shared" si="14"/>
        <v>0</v>
      </c>
      <c r="V14" s="186">
        <f>3223+2267+3542</f>
        <v>9032</v>
      </c>
      <c r="W14" s="184">
        <f t="shared" si="15"/>
        <v>87.510900106578816</v>
      </c>
      <c r="X14" s="191">
        <v>4144</v>
      </c>
      <c r="Y14" s="130"/>
      <c r="Z14" s="183">
        <f t="shared" si="16"/>
        <v>0</v>
      </c>
      <c r="AA14" s="130">
        <v>3702</v>
      </c>
      <c r="AB14" s="184">
        <f t="shared" si="17"/>
        <v>89.333976833976834</v>
      </c>
      <c r="AC14" s="185">
        <f t="shared" si="18"/>
        <v>14465</v>
      </c>
      <c r="AD14" s="130">
        <f t="shared" si="19"/>
        <v>0</v>
      </c>
      <c r="AE14" s="183">
        <f t="shared" si="20"/>
        <v>0</v>
      </c>
      <c r="AF14" s="186">
        <f t="shared" si="21"/>
        <v>12734</v>
      </c>
      <c r="AG14" s="184">
        <f t="shared" si="22"/>
        <v>88.033183546491529</v>
      </c>
      <c r="AH14" s="4"/>
      <c r="AI14" s="4"/>
    </row>
    <row r="15" spans="1:35" ht="48" thickBot="1" x14ac:dyDescent="0.35">
      <c r="A15" s="171">
        <v>76</v>
      </c>
      <c r="B15" s="170" t="s">
        <v>103</v>
      </c>
      <c r="C15" s="132" t="s">
        <v>81</v>
      </c>
      <c r="D15" s="187">
        <v>0</v>
      </c>
      <c r="E15" s="188">
        <v>0</v>
      </c>
      <c r="F15" s="189"/>
      <c r="G15" s="188">
        <v>0</v>
      </c>
      <c r="H15" s="190"/>
      <c r="I15" s="187">
        <v>0</v>
      </c>
      <c r="J15" s="130">
        <v>0</v>
      </c>
      <c r="K15" s="183"/>
      <c r="L15" s="130">
        <v>0</v>
      </c>
      <c r="M15" s="184"/>
      <c r="N15" s="191">
        <v>0</v>
      </c>
      <c r="O15" s="130">
        <v>0</v>
      </c>
      <c r="P15" s="183"/>
      <c r="Q15" s="130">
        <v>0</v>
      </c>
      <c r="R15" s="184"/>
      <c r="S15" s="192"/>
      <c r="T15" s="131"/>
      <c r="U15" s="193"/>
      <c r="V15" s="194"/>
      <c r="W15" s="195"/>
      <c r="X15" s="196"/>
      <c r="Y15" s="131"/>
      <c r="Z15" s="193"/>
      <c r="AA15" s="131"/>
      <c r="AB15" s="195"/>
      <c r="AC15" s="192">
        <f t="shared" si="18"/>
        <v>0</v>
      </c>
      <c r="AD15" s="131">
        <f t="shared" si="19"/>
        <v>0</v>
      </c>
      <c r="AE15" s="193"/>
      <c r="AF15" s="194">
        <f t="shared" si="21"/>
        <v>0</v>
      </c>
      <c r="AG15" s="195"/>
      <c r="AH15" s="4"/>
      <c r="AI15" s="4"/>
    </row>
    <row r="16" spans="1:35" s="87" customFormat="1" ht="21" thickBot="1" x14ac:dyDescent="0.35">
      <c r="A16" s="79"/>
      <c r="B16" s="140"/>
      <c r="C16" s="78" t="s">
        <v>119</v>
      </c>
      <c r="D16" s="80"/>
      <c r="E16" s="81"/>
      <c r="F16" s="46"/>
      <c r="G16" s="81"/>
      <c r="H16" s="82"/>
      <c r="I16" s="80"/>
      <c r="J16" s="83"/>
      <c r="K16" s="84"/>
      <c r="L16" s="83"/>
      <c r="M16" s="85"/>
      <c r="N16" s="74"/>
      <c r="O16" s="83"/>
      <c r="P16" s="84"/>
      <c r="Q16" s="83"/>
      <c r="R16" s="85"/>
      <c r="S16" s="129">
        <f>SUM(S12:S15)</f>
        <v>10378</v>
      </c>
      <c r="T16" s="129">
        <f>SUM(T12:T15)</f>
        <v>0</v>
      </c>
      <c r="U16" s="166">
        <f>T16*100/S16</f>
        <v>0</v>
      </c>
      <c r="V16" s="129">
        <f>SUM(V12:V15)</f>
        <v>9059</v>
      </c>
      <c r="W16" s="166">
        <f>V16*100/S16</f>
        <v>87.290422046637119</v>
      </c>
      <c r="X16" s="129">
        <f>SUM(X12:X15)</f>
        <v>4185</v>
      </c>
      <c r="Y16" s="129">
        <f>SUM(Y12:Y15)</f>
        <v>0</v>
      </c>
      <c r="Z16" s="166">
        <f>Y16*100/X16</f>
        <v>0</v>
      </c>
      <c r="AA16" s="129">
        <f>SUM(AA12:AA15)</f>
        <v>3741</v>
      </c>
      <c r="AB16" s="166">
        <f>AA16*100/X16</f>
        <v>89.390681003584234</v>
      </c>
      <c r="AC16" s="129">
        <f>SUM(AC12:AC15)</f>
        <v>14563</v>
      </c>
      <c r="AD16" s="129">
        <f>SUM(AD12:AD15)</f>
        <v>0</v>
      </c>
      <c r="AE16" s="166">
        <f>AD16*100/AC16</f>
        <v>0</v>
      </c>
      <c r="AF16" s="129">
        <f>SUM(AF12:AF15)</f>
        <v>12800</v>
      </c>
      <c r="AG16" s="166">
        <f>AF16*100/AC16</f>
        <v>87.893977889171182</v>
      </c>
      <c r="AH16" s="86"/>
      <c r="AI16" s="86"/>
    </row>
    <row r="17" spans="1:35" ht="32.25" thickBot="1" x14ac:dyDescent="0.35">
      <c r="A17" s="51">
        <v>3</v>
      </c>
      <c r="B17" s="57" t="s">
        <v>93</v>
      </c>
      <c r="C17" s="50" t="s">
        <v>9</v>
      </c>
      <c r="D17" s="24">
        <v>3</v>
      </c>
      <c r="E17" s="25">
        <v>0</v>
      </c>
      <c r="F17" s="26">
        <f>E17*100/D17</f>
        <v>0</v>
      </c>
      <c r="G17" s="25">
        <v>0</v>
      </c>
      <c r="H17" s="27">
        <f>G17*100/D17</f>
        <v>0</v>
      </c>
      <c r="I17" s="24">
        <v>7</v>
      </c>
      <c r="J17" s="25">
        <v>0</v>
      </c>
      <c r="K17" s="28">
        <f>J17*100/I17</f>
        <v>0</v>
      </c>
      <c r="L17" s="29">
        <v>0</v>
      </c>
      <c r="M17" s="30">
        <f>L17*100/I17</f>
        <v>0</v>
      </c>
      <c r="N17" s="31">
        <v>8</v>
      </c>
      <c r="O17" s="29">
        <v>0</v>
      </c>
      <c r="P17" s="28">
        <f>O17*100/N17</f>
        <v>0</v>
      </c>
      <c r="Q17" s="29">
        <v>0</v>
      </c>
      <c r="R17" s="30">
        <f>Q17*100/N17</f>
        <v>0</v>
      </c>
      <c r="S17" s="109">
        <f>3+7+8</f>
        <v>18</v>
      </c>
      <c r="T17" s="70"/>
      <c r="U17" s="71">
        <f t="shared" si="14"/>
        <v>0</v>
      </c>
      <c r="V17" s="69"/>
      <c r="W17" s="73">
        <f t="shared" si="15"/>
        <v>0</v>
      </c>
      <c r="X17" s="110">
        <v>5</v>
      </c>
      <c r="Y17" s="70"/>
      <c r="Z17" s="71">
        <f t="shared" si="16"/>
        <v>0</v>
      </c>
      <c r="AA17" s="70"/>
      <c r="AB17" s="73">
        <f t="shared" si="17"/>
        <v>0</v>
      </c>
      <c r="AC17" s="109">
        <f t="shared" si="18"/>
        <v>23</v>
      </c>
      <c r="AD17" s="70">
        <f t="shared" si="19"/>
        <v>0</v>
      </c>
      <c r="AE17" s="71">
        <f t="shared" si="20"/>
        <v>0</v>
      </c>
      <c r="AF17" s="69">
        <f t="shared" si="21"/>
        <v>0</v>
      </c>
      <c r="AG17" s="73">
        <f t="shared" si="22"/>
        <v>0</v>
      </c>
      <c r="AH17" s="4"/>
    </row>
    <row r="18" spans="1:35" ht="36.75" customHeight="1" thickBot="1" x14ac:dyDescent="0.35">
      <c r="A18" s="51">
        <v>13</v>
      </c>
      <c r="B18" s="57" t="s">
        <v>93</v>
      </c>
      <c r="C18" s="50" t="s">
        <v>19</v>
      </c>
      <c r="D18" s="24">
        <v>12</v>
      </c>
      <c r="E18" s="25">
        <v>0</v>
      </c>
      <c r="F18" s="26">
        <f>E18*100/D18</f>
        <v>0</v>
      </c>
      <c r="G18" s="25">
        <v>0</v>
      </c>
      <c r="H18" s="27">
        <f>G18*100/D18</f>
        <v>0</v>
      </c>
      <c r="I18" s="31">
        <v>12</v>
      </c>
      <c r="J18" s="29">
        <v>0</v>
      </c>
      <c r="K18" s="28">
        <f>J18*100/I18</f>
        <v>0</v>
      </c>
      <c r="L18" s="29">
        <v>0</v>
      </c>
      <c r="M18" s="30">
        <f>L18*100/I18</f>
        <v>0</v>
      </c>
      <c r="N18" s="31">
        <v>26</v>
      </c>
      <c r="O18" s="29">
        <v>0</v>
      </c>
      <c r="P18" s="28">
        <f>O18*100/N18</f>
        <v>0</v>
      </c>
      <c r="Q18" s="29">
        <v>0</v>
      </c>
      <c r="R18" s="30">
        <f>Q18*100/N18</f>
        <v>0</v>
      </c>
      <c r="S18" s="89">
        <f>12+12+26</f>
        <v>50</v>
      </c>
      <c r="T18" s="29"/>
      <c r="U18" s="28">
        <f t="shared" si="14"/>
        <v>0</v>
      </c>
      <c r="V18" s="58"/>
      <c r="W18" s="30">
        <f t="shared" si="15"/>
        <v>0</v>
      </c>
      <c r="X18" s="31">
        <v>17</v>
      </c>
      <c r="Y18" s="29"/>
      <c r="Z18" s="28">
        <f t="shared" si="16"/>
        <v>0</v>
      </c>
      <c r="AA18" s="29"/>
      <c r="AB18" s="30">
        <f t="shared" si="17"/>
        <v>0</v>
      </c>
      <c r="AC18" s="89">
        <f t="shared" si="18"/>
        <v>67</v>
      </c>
      <c r="AD18" s="29">
        <f t="shared" si="19"/>
        <v>0</v>
      </c>
      <c r="AE18" s="28">
        <f t="shared" si="20"/>
        <v>0</v>
      </c>
      <c r="AF18" s="58">
        <f t="shared" si="21"/>
        <v>0</v>
      </c>
      <c r="AG18" s="30">
        <f t="shared" si="22"/>
        <v>0</v>
      </c>
      <c r="AH18" s="4"/>
      <c r="AI18" s="4"/>
    </row>
    <row r="19" spans="1:35" ht="32.25" thickBot="1" x14ac:dyDescent="0.35">
      <c r="A19" s="51">
        <v>18</v>
      </c>
      <c r="B19" s="57" t="s">
        <v>93</v>
      </c>
      <c r="C19" s="50" t="s">
        <v>24</v>
      </c>
      <c r="D19" s="24">
        <v>80</v>
      </c>
      <c r="E19" s="25">
        <v>0</v>
      </c>
      <c r="F19" s="26">
        <f>E19*100/D19</f>
        <v>0</v>
      </c>
      <c r="G19" s="25">
        <v>0</v>
      </c>
      <c r="H19" s="27">
        <f>G19*100/D19</f>
        <v>0</v>
      </c>
      <c r="I19" s="31">
        <v>146</v>
      </c>
      <c r="J19" s="29">
        <v>0</v>
      </c>
      <c r="K19" s="28">
        <f>J19*100/I19</f>
        <v>0</v>
      </c>
      <c r="L19" s="29">
        <v>0</v>
      </c>
      <c r="M19" s="30">
        <f>L19*100/I19</f>
        <v>0</v>
      </c>
      <c r="N19" s="31">
        <v>31</v>
      </c>
      <c r="O19" s="29">
        <v>0</v>
      </c>
      <c r="P19" s="28">
        <f>O19*100/N19</f>
        <v>0</v>
      </c>
      <c r="Q19" s="29">
        <v>0</v>
      </c>
      <c r="R19" s="30">
        <f>Q19*100/N19</f>
        <v>0</v>
      </c>
      <c r="S19" s="89">
        <f>80+146+31</f>
        <v>257</v>
      </c>
      <c r="T19" s="29"/>
      <c r="U19" s="28">
        <f t="shared" si="14"/>
        <v>0</v>
      </c>
      <c r="V19" s="58"/>
      <c r="W19" s="30">
        <f t="shared" si="15"/>
        <v>0</v>
      </c>
      <c r="X19" s="31">
        <v>35</v>
      </c>
      <c r="Y19" s="29"/>
      <c r="Z19" s="28">
        <f t="shared" si="16"/>
        <v>0</v>
      </c>
      <c r="AA19" s="29"/>
      <c r="AB19" s="30">
        <f t="shared" si="17"/>
        <v>0</v>
      </c>
      <c r="AC19" s="89">
        <f t="shared" si="18"/>
        <v>292</v>
      </c>
      <c r="AD19" s="29">
        <f t="shared" si="19"/>
        <v>0</v>
      </c>
      <c r="AE19" s="28">
        <f t="shared" si="20"/>
        <v>0</v>
      </c>
      <c r="AF19" s="58">
        <f t="shared" si="21"/>
        <v>0</v>
      </c>
      <c r="AG19" s="30">
        <f t="shared" si="22"/>
        <v>0</v>
      </c>
      <c r="AH19" s="4"/>
      <c r="AI19" s="4"/>
    </row>
    <row r="20" spans="1:35" ht="51" customHeight="1" thickBot="1" x14ac:dyDescent="0.35">
      <c r="A20" s="51">
        <v>20</v>
      </c>
      <c r="B20" s="57" t="s">
        <v>93</v>
      </c>
      <c r="C20" s="50" t="s">
        <v>26</v>
      </c>
      <c r="D20" s="24">
        <v>3</v>
      </c>
      <c r="E20" s="25">
        <v>0</v>
      </c>
      <c r="F20" s="26">
        <f>E20*100/D20</f>
        <v>0</v>
      </c>
      <c r="G20" s="25">
        <v>0</v>
      </c>
      <c r="H20" s="27">
        <f>G20*100/D20</f>
        <v>0</v>
      </c>
      <c r="I20" s="31">
        <v>9</v>
      </c>
      <c r="J20" s="29">
        <v>0</v>
      </c>
      <c r="K20" s="28">
        <f>J20*100/I20</f>
        <v>0</v>
      </c>
      <c r="L20" s="29">
        <v>0</v>
      </c>
      <c r="M20" s="30">
        <f>L20*100/I20</f>
        <v>0</v>
      </c>
      <c r="N20" s="31">
        <v>4</v>
      </c>
      <c r="O20" s="29">
        <v>0</v>
      </c>
      <c r="P20" s="28">
        <f>O20*100/N20</f>
        <v>0</v>
      </c>
      <c r="Q20" s="29">
        <v>0</v>
      </c>
      <c r="R20" s="30">
        <f>Q20*100/N20</f>
        <v>0</v>
      </c>
      <c r="S20" s="89">
        <f>3+9+4</f>
        <v>16</v>
      </c>
      <c r="T20" s="29"/>
      <c r="U20" s="28">
        <f t="shared" si="14"/>
        <v>0</v>
      </c>
      <c r="V20" s="58"/>
      <c r="W20" s="30">
        <f t="shared" si="15"/>
        <v>0</v>
      </c>
      <c r="X20" s="31">
        <v>3</v>
      </c>
      <c r="Y20" s="29"/>
      <c r="Z20" s="28">
        <f t="shared" si="16"/>
        <v>0</v>
      </c>
      <c r="AA20" s="29"/>
      <c r="AB20" s="30">
        <f t="shared" si="17"/>
        <v>0</v>
      </c>
      <c r="AC20" s="89">
        <f t="shared" si="18"/>
        <v>19</v>
      </c>
      <c r="AD20" s="29">
        <f t="shared" si="19"/>
        <v>0</v>
      </c>
      <c r="AE20" s="28">
        <f t="shared" si="20"/>
        <v>0</v>
      </c>
      <c r="AF20" s="58">
        <f t="shared" si="21"/>
        <v>0</v>
      </c>
      <c r="AG20" s="30">
        <f t="shared" si="22"/>
        <v>0</v>
      </c>
      <c r="AH20" s="4"/>
      <c r="AI20" s="4"/>
    </row>
    <row r="21" spans="1:35" ht="81" customHeight="1" thickBot="1" x14ac:dyDescent="0.35">
      <c r="A21" s="51">
        <v>28</v>
      </c>
      <c r="B21" s="57" t="s">
        <v>93</v>
      </c>
      <c r="C21" s="50" t="s">
        <v>34</v>
      </c>
      <c r="D21" s="24">
        <v>3</v>
      </c>
      <c r="E21" s="25">
        <v>0</v>
      </c>
      <c r="F21" s="26">
        <f>E21*100/D21</f>
        <v>0</v>
      </c>
      <c r="G21" s="25">
        <v>0</v>
      </c>
      <c r="H21" s="27">
        <f>G21*100/D21</f>
        <v>0</v>
      </c>
      <c r="I21" s="31">
        <v>4</v>
      </c>
      <c r="J21" s="29">
        <v>0</v>
      </c>
      <c r="K21" s="28">
        <f>J21*100/I21</f>
        <v>0</v>
      </c>
      <c r="L21" s="29">
        <v>0</v>
      </c>
      <c r="M21" s="30">
        <f>L21*100/I21</f>
        <v>0</v>
      </c>
      <c r="N21" s="31">
        <v>6</v>
      </c>
      <c r="O21" s="29">
        <v>0</v>
      </c>
      <c r="P21" s="28">
        <f>O21*100/N21</f>
        <v>0</v>
      </c>
      <c r="Q21" s="29">
        <v>0</v>
      </c>
      <c r="R21" s="30">
        <f>Q21*100/N21</f>
        <v>0</v>
      </c>
      <c r="S21" s="89">
        <f>3+4+6</f>
        <v>13</v>
      </c>
      <c r="T21" s="29"/>
      <c r="U21" s="28">
        <f t="shared" si="14"/>
        <v>0</v>
      </c>
      <c r="V21" s="58"/>
      <c r="W21" s="30">
        <f t="shared" si="15"/>
        <v>0</v>
      </c>
      <c r="X21" s="31">
        <v>8</v>
      </c>
      <c r="Y21" s="29"/>
      <c r="Z21" s="28">
        <f t="shared" si="16"/>
        <v>0</v>
      </c>
      <c r="AA21" s="29"/>
      <c r="AB21" s="30">
        <f t="shared" si="17"/>
        <v>0</v>
      </c>
      <c r="AC21" s="89">
        <f t="shared" si="18"/>
        <v>21</v>
      </c>
      <c r="AD21" s="29">
        <f t="shared" si="19"/>
        <v>0</v>
      </c>
      <c r="AE21" s="28">
        <f t="shared" si="20"/>
        <v>0</v>
      </c>
      <c r="AF21" s="58">
        <f t="shared" si="21"/>
        <v>0</v>
      </c>
      <c r="AG21" s="30">
        <f t="shared" si="22"/>
        <v>0</v>
      </c>
      <c r="AH21" s="4"/>
      <c r="AI21" s="4"/>
    </row>
    <row r="22" spans="1:35" ht="50.25" customHeight="1" thickBot="1" x14ac:dyDescent="0.35">
      <c r="A22" s="51">
        <v>36</v>
      </c>
      <c r="B22" s="57" t="s">
        <v>93</v>
      </c>
      <c r="C22" s="50" t="s">
        <v>42</v>
      </c>
      <c r="D22" s="24">
        <v>0</v>
      </c>
      <c r="E22" s="25">
        <v>0</v>
      </c>
      <c r="F22" s="26"/>
      <c r="G22" s="25">
        <v>0</v>
      </c>
      <c r="H22" s="27"/>
      <c r="I22" s="24">
        <v>0</v>
      </c>
      <c r="J22" s="29">
        <v>0</v>
      </c>
      <c r="K22" s="28"/>
      <c r="L22" s="29">
        <v>0</v>
      </c>
      <c r="M22" s="30"/>
      <c r="N22" s="31">
        <v>0</v>
      </c>
      <c r="O22" s="29">
        <v>0</v>
      </c>
      <c r="P22" s="28"/>
      <c r="Q22" s="29">
        <v>0</v>
      </c>
      <c r="R22" s="30"/>
      <c r="S22" s="89"/>
      <c r="T22" s="29"/>
      <c r="U22" s="28"/>
      <c r="V22" s="58"/>
      <c r="W22" s="30"/>
      <c r="X22" s="31">
        <v>0</v>
      </c>
      <c r="Y22" s="29"/>
      <c r="Z22" s="28">
        <v>0</v>
      </c>
      <c r="AA22" s="29"/>
      <c r="AB22" s="30">
        <v>0</v>
      </c>
      <c r="AC22" s="89">
        <f t="shared" si="18"/>
        <v>0</v>
      </c>
      <c r="AD22" s="29">
        <f t="shared" si="19"/>
        <v>0</v>
      </c>
      <c r="AE22" s="28">
        <v>0</v>
      </c>
      <c r="AF22" s="58">
        <f t="shared" si="21"/>
        <v>0</v>
      </c>
      <c r="AG22" s="30">
        <v>0</v>
      </c>
      <c r="AH22" s="4"/>
      <c r="AI22" s="4"/>
    </row>
    <row r="23" spans="1:35" ht="21" thickBot="1" x14ac:dyDescent="0.35">
      <c r="A23" s="51">
        <v>24</v>
      </c>
      <c r="B23" s="57" t="s">
        <v>93</v>
      </c>
      <c r="C23" s="50" t="s">
        <v>30</v>
      </c>
      <c r="D23" s="24">
        <v>86</v>
      </c>
      <c r="E23" s="25">
        <v>0</v>
      </c>
      <c r="F23" s="26">
        <f>E23*100/D23</f>
        <v>0</v>
      </c>
      <c r="G23" s="25">
        <v>0</v>
      </c>
      <c r="H23" s="27">
        <f>G23*100/D23</f>
        <v>0</v>
      </c>
      <c r="I23" s="31">
        <v>109</v>
      </c>
      <c r="J23" s="29">
        <v>0</v>
      </c>
      <c r="K23" s="28">
        <f>J23*100/I23</f>
        <v>0</v>
      </c>
      <c r="L23" s="29">
        <v>0</v>
      </c>
      <c r="M23" s="30">
        <f>L23*100/I23</f>
        <v>0</v>
      </c>
      <c r="N23" s="31">
        <v>134</v>
      </c>
      <c r="O23" s="29">
        <v>0</v>
      </c>
      <c r="P23" s="28">
        <f>O23*100/N23</f>
        <v>0</v>
      </c>
      <c r="Q23" s="29">
        <v>0</v>
      </c>
      <c r="R23" s="30">
        <f>Q23*100/N23</f>
        <v>0</v>
      </c>
      <c r="S23" s="89">
        <f>86+109+134</f>
        <v>329</v>
      </c>
      <c r="T23" s="29"/>
      <c r="U23" s="28">
        <f t="shared" si="14"/>
        <v>0</v>
      </c>
      <c r="V23" s="58"/>
      <c r="W23" s="30">
        <f t="shared" si="15"/>
        <v>0</v>
      </c>
      <c r="X23" s="31">
        <v>55</v>
      </c>
      <c r="Y23" s="29"/>
      <c r="Z23" s="28">
        <f t="shared" si="16"/>
        <v>0</v>
      </c>
      <c r="AA23" s="29"/>
      <c r="AB23" s="30">
        <f t="shared" si="17"/>
        <v>0</v>
      </c>
      <c r="AC23" s="89">
        <f t="shared" si="18"/>
        <v>384</v>
      </c>
      <c r="AD23" s="29">
        <f t="shared" si="19"/>
        <v>0</v>
      </c>
      <c r="AE23" s="28">
        <f t="shared" si="20"/>
        <v>0</v>
      </c>
      <c r="AF23" s="58">
        <f t="shared" si="21"/>
        <v>0</v>
      </c>
      <c r="AG23" s="30">
        <f t="shared" si="22"/>
        <v>0</v>
      </c>
      <c r="AH23" s="4"/>
      <c r="AI23" s="4"/>
    </row>
    <row r="24" spans="1:35" ht="32.25" thickBot="1" x14ac:dyDescent="0.35">
      <c r="A24" s="10">
        <v>39</v>
      </c>
      <c r="B24" s="10" t="s">
        <v>93</v>
      </c>
      <c r="C24" s="11" t="s">
        <v>45</v>
      </c>
      <c r="D24" s="20">
        <v>194</v>
      </c>
      <c r="E24" s="21">
        <v>0</v>
      </c>
      <c r="F24" s="22">
        <f>E24*100/D24</f>
        <v>0</v>
      </c>
      <c r="G24" s="21">
        <v>0</v>
      </c>
      <c r="H24" s="23">
        <f>G24*100/D24</f>
        <v>0</v>
      </c>
      <c r="I24" s="20">
        <v>345</v>
      </c>
      <c r="J24" s="21">
        <v>0</v>
      </c>
      <c r="K24" s="22">
        <f>J24*100/I24</f>
        <v>0</v>
      </c>
      <c r="L24" s="21">
        <v>0</v>
      </c>
      <c r="M24" s="23">
        <f>L24*100/I24</f>
        <v>0</v>
      </c>
      <c r="N24" s="20">
        <v>57</v>
      </c>
      <c r="O24" s="21">
        <v>0</v>
      </c>
      <c r="P24" s="22">
        <f>O24*100/N24</f>
        <v>0</v>
      </c>
      <c r="Q24" s="21">
        <v>0</v>
      </c>
      <c r="R24" s="23">
        <f>Q24*100/N24</f>
        <v>0</v>
      </c>
      <c r="S24" s="90">
        <f>194+345+57</f>
        <v>596</v>
      </c>
      <c r="T24" s="21"/>
      <c r="U24" s="22">
        <f t="shared" si="14"/>
        <v>0</v>
      </c>
      <c r="V24" s="92"/>
      <c r="W24" s="23">
        <f t="shared" si="15"/>
        <v>0</v>
      </c>
      <c r="X24" s="20">
        <v>1</v>
      </c>
      <c r="Y24" s="21"/>
      <c r="Z24" s="22">
        <f t="shared" si="16"/>
        <v>0</v>
      </c>
      <c r="AA24" s="21"/>
      <c r="AB24" s="23">
        <f t="shared" si="17"/>
        <v>0</v>
      </c>
      <c r="AC24" s="90">
        <f t="shared" si="18"/>
        <v>597</v>
      </c>
      <c r="AD24" s="21">
        <f t="shared" si="19"/>
        <v>0</v>
      </c>
      <c r="AE24" s="22">
        <f t="shared" si="20"/>
        <v>0</v>
      </c>
      <c r="AF24" s="92">
        <f t="shared" si="21"/>
        <v>0</v>
      </c>
      <c r="AG24" s="23">
        <f t="shared" si="22"/>
        <v>0</v>
      </c>
    </row>
    <row r="25" spans="1:35" ht="32.25" thickBot="1" x14ac:dyDescent="0.35">
      <c r="A25" s="51">
        <v>55</v>
      </c>
      <c r="B25" s="57" t="s">
        <v>93</v>
      </c>
      <c r="C25" s="50" t="s">
        <v>61</v>
      </c>
      <c r="D25" s="24">
        <v>2</v>
      </c>
      <c r="E25" s="25">
        <v>0</v>
      </c>
      <c r="F25" s="26">
        <f>E25*100/D25</f>
        <v>0</v>
      </c>
      <c r="G25" s="25">
        <v>0</v>
      </c>
      <c r="H25" s="27">
        <f>G25*100/D25</f>
        <v>0</v>
      </c>
      <c r="I25" s="31">
        <v>2</v>
      </c>
      <c r="J25" s="29">
        <v>0</v>
      </c>
      <c r="K25" s="28">
        <f>J25*100/I25</f>
        <v>0</v>
      </c>
      <c r="L25" s="29">
        <v>0</v>
      </c>
      <c r="M25" s="30">
        <f>L25*100/I25</f>
        <v>0</v>
      </c>
      <c r="N25" s="31">
        <v>4</v>
      </c>
      <c r="O25" s="29">
        <v>0</v>
      </c>
      <c r="P25" s="28">
        <f>O25*100/N25</f>
        <v>0</v>
      </c>
      <c r="Q25" s="29">
        <v>0</v>
      </c>
      <c r="R25" s="30">
        <f>Q25*100/N25</f>
        <v>0</v>
      </c>
      <c r="S25" s="96">
        <f>2+2+4</f>
        <v>8</v>
      </c>
      <c r="T25" s="64"/>
      <c r="U25" s="65">
        <f t="shared" si="14"/>
        <v>0</v>
      </c>
      <c r="V25" s="97"/>
      <c r="W25" s="30">
        <f t="shared" si="15"/>
        <v>0</v>
      </c>
      <c r="X25" s="63">
        <v>2</v>
      </c>
      <c r="Y25" s="64"/>
      <c r="Z25" s="65">
        <f t="shared" si="16"/>
        <v>0</v>
      </c>
      <c r="AA25" s="64"/>
      <c r="AB25" s="66">
        <f t="shared" si="17"/>
        <v>0</v>
      </c>
      <c r="AC25" s="89">
        <f t="shared" si="18"/>
        <v>10</v>
      </c>
      <c r="AD25" s="29">
        <f t="shared" si="19"/>
        <v>0</v>
      </c>
      <c r="AE25" s="28">
        <f t="shared" si="20"/>
        <v>0</v>
      </c>
      <c r="AF25" s="58">
        <f t="shared" si="21"/>
        <v>0</v>
      </c>
      <c r="AG25" s="30">
        <f t="shared" si="22"/>
        <v>0</v>
      </c>
      <c r="AH25" s="4"/>
    </row>
    <row r="26" spans="1:35" ht="63.75" thickBot="1" x14ac:dyDescent="0.35">
      <c r="A26" s="169"/>
      <c r="B26" s="57" t="s">
        <v>93</v>
      </c>
      <c r="C26" s="168" t="s">
        <v>137</v>
      </c>
      <c r="D26" s="24"/>
      <c r="E26" s="25"/>
      <c r="F26" s="26"/>
      <c r="G26" s="25"/>
      <c r="H26" s="27"/>
      <c r="I26" s="31"/>
      <c r="J26" s="29"/>
      <c r="K26" s="28"/>
      <c r="L26" s="29"/>
      <c r="M26" s="30"/>
      <c r="N26" s="31"/>
      <c r="O26" s="29"/>
      <c r="P26" s="28"/>
      <c r="Q26" s="29"/>
      <c r="R26" s="30"/>
      <c r="S26" s="96">
        <f>227</f>
        <v>227</v>
      </c>
      <c r="T26" s="64"/>
      <c r="U26" s="65"/>
      <c r="V26" s="97"/>
      <c r="W26" s="197"/>
      <c r="X26" s="63">
        <v>135</v>
      </c>
      <c r="Y26" s="64"/>
      <c r="Z26" s="65">
        <f t="shared" ref="Z26" si="23">Y26*100/X26</f>
        <v>0</v>
      </c>
      <c r="AA26" s="64"/>
      <c r="AB26" s="66">
        <f t="shared" ref="AB26" si="24">AA26*100/X26</f>
        <v>0</v>
      </c>
      <c r="AC26" s="89">
        <f t="shared" ref="AC26" si="25">X26+S26</f>
        <v>362</v>
      </c>
      <c r="AD26" s="29">
        <f t="shared" ref="AD26" si="26">Y26+T26</f>
        <v>0</v>
      </c>
      <c r="AE26" s="28">
        <f t="shared" ref="AE26" si="27">AD26*100/AC26</f>
        <v>0</v>
      </c>
      <c r="AF26" s="58">
        <f t="shared" ref="AF26" si="28">AA26+V26</f>
        <v>0</v>
      </c>
      <c r="AG26" s="30">
        <f t="shared" ref="AG26" si="29">AF26*100/AC26</f>
        <v>0</v>
      </c>
      <c r="AH26" s="4"/>
    </row>
    <row r="27" spans="1:35" ht="95.25" thickBot="1" x14ac:dyDescent="0.35">
      <c r="A27" s="198"/>
      <c r="B27" s="198" t="s">
        <v>93</v>
      </c>
      <c r="C27" s="199" t="s">
        <v>136</v>
      </c>
      <c r="D27" s="200"/>
      <c r="E27" s="201"/>
      <c r="F27" s="202"/>
      <c r="G27" s="201"/>
      <c r="H27" s="203"/>
      <c r="I27" s="200"/>
      <c r="J27" s="201"/>
      <c r="K27" s="202"/>
      <c r="L27" s="201"/>
      <c r="M27" s="203"/>
      <c r="N27" s="200"/>
      <c r="O27" s="201"/>
      <c r="P27" s="202"/>
      <c r="Q27" s="201"/>
      <c r="R27" s="203"/>
      <c r="S27" s="204">
        <v>90</v>
      </c>
      <c r="T27" s="205"/>
      <c r="U27" s="206"/>
      <c r="V27" s="205"/>
      <c r="W27" s="207"/>
      <c r="X27" s="204">
        <v>81</v>
      </c>
      <c r="Y27" s="205"/>
      <c r="Z27" s="206">
        <f t="shared" si="16"/>
        <v>0</v>
      </c>
      <c r="AA27" s="205"/>
      <c r="AB27" s="207">
        <f t="shared" si="17"/>
        <v>0</v>
      </c>
      <c r="AC27" s="90">
        <f t="shared" si="18"/>
        <v>171</v>
      </c>
      <c r="AD27" s="21">
        <f t="shared" ref="AD27" si="30">Y27+T27</f>
        <v>0</v>
      </c>
      <c r="AE27" s="22">
        <f t="shared" ref="AE27" si="31">AD27*100/AC27</f>
        <v>0</v>
      </c>
      <c r="AF27" s="92">
        <f t="shared" ref="AF27" si="32">AA27+V27</f>
        <v>0</v>
      </c>
      <c r="AG27" s="23">
        <f t="shared" ref="AG27" si="33">AF27*100/AC27</f>
        <v>0</v>
      </c>
      <c r="AH27" s="4"/>
    </row>
    <row r="28" spans="1:35" ht="21" thickBot="1" x14ac:dyDescent="0.35">
      <c r="A28" s="51"/>
      <c r="B28" s="57"/>
      <c r="C28" s="78" t="s">
        <v>122</v>
      </c>
      <c r="D28" s="24"/>
      <c r="E28" s="25"/>
      <c r="F28" s="26"/>
      <c r="G28" s="25"/>
      <c r="H28" s="27"/>
      <c r="I28" s="31"/>
      <c r="J28" s="29"/>
      <c r="K28" s="28"/>
      <c r="L28" s="29"/>
      <c r="M28" s="30"/>
      <c r="N28" s="31"/>
      <c r="O28" s="29"/>
      <c r="P28" s="28"/>
      <c r="Q28" s="29"/>
      <c r="R28" s="30"/>
      <c r="S28" s="111">
        <f>SUM(S17:S25)</f>
        <v>1287</v>
      </c>
      <c r="T28" s="111">
        <f>SUM(T12:T25)</f>
        <v>0</v>
      </c>
      <c r="U28" s="112">
        <f>T28*100/S28</f>
        <v>0</v>
      </c>
      <c r="V28" s="111">
        <f>SUM(V17:V25)</f>
        <v>0</v>
      </c>
      <c r="W28" s="113">
        <f>V28*100/S28</f>
        <v>0</v>
      </c>
      <c r="X28" s="111">
        <f>SUM(X17:X25)</f>
        <v>126</v>
      </c>
      <c r="Y28" s="111">
        <f>SUM(Y12:Y25)</f>
        <v>0</v>
      </c>
      <c r="Z28" s="112">
        <f>Y28*100/X28</f>
        <v>0</v>
      </c>
      <c r="AA28" s="111">
        <f>SUM(AA17:AA25)</f>
        <v>0</v>
      </c>
      <c r="AB28" s="113">
        <f>AA28*100/X28</f>
        <v>0</v>
      </c>
      <c r="AC28" s="111">
        <f>SUM(AC17:AC25)</f>
        <v>1413</v>
      </c>
      <c r="AD28" s="111">
        <f>SUM(AD12:AD25)</f>
        <v>0</v>
      </c>
      <c r="AE28" s="112">
        <f>AD28*100/AC28</f>
        <v>0</v>
      </c>
      <c r="AF28" s="111">
        <f>SUM(AF17:AF25)</f>
        <v>0</v>
      </c>
      <c r="AG28" s="113">
        <f>AF28*100/AC28</f>
        <v>0</v>
      </c>
      <c r="AH28" s="4"/>
    </row>
    <row r="29" spans="1:35" ht="35.1" customHeight="1" thickBot="1" x14ac:dyDescent="0.35">
      <c r="A29" s="56">
        <v>1</v>
      </c>
      <c r="B29" s="139" t="s">
        <v>91</v>
      </c>
      <c r="C29" s="11" t="s">
        <v>7</v>
      </c>
      <c r="D29" s="20">
        <v>159</v>
      </c>
      <c r="E29" s="21">
        <v>2</v>
      </c>
      <c r="F29" s="22">
        <f t="shared" ref="F29:F39" si="34">E29*100/D29</f>
        <v>1.2578616352201257</v>
      </c>
      <c r="G29" s="21">
        <v>3</v>
      </c>
      <c r="H29" s="23">
        <f t="shared" ref="H29:H39" si="35">G29*100/D29</f>
        <v>1.8867924528301887</v>
      </c>
      <c r="I29" s="20">
        <v>207</v>
      </c>
      <c r="J29" s="21">
        <v>3</v>
      </c>
      <c r="K29" s="22">
        <f t="shared" ref="K29:K36" si="36">J29*100/I29</f>
        <v>1.4492753623188406</v>
      </c>
      <c r="L29" s="21">
        <v>0</v>
      </c>
      <c r="M29" s="23">
        <f t="shared" ref="M29:M36" si="37">L29*100/I29</f>
        <v>0</v>
      </c>
      <c r="N29" s="20">
        <v>152</v>
      </c>
      <c r="O29" s="21">
        <v>1</v>
      </c>
      <c r="P29" s="22">
        <f t="shared" ref="P29:P40" si="38">O29*100/N29</f>
        <v>0.65789473684210531</v>
      </c>
      <c r="Q29" s="21">
        <v>3</v>
      </c>
      <c r="R29" s="23">
        <f t="shared" ref="R29:R93" si="39">Q29*100/N29</f>
        <v>1.9736842105263157</v>
      </c>
      <c r="S29" s="90">
        <f>159+207+152</f>
        <v>518</v>
      </c>
      <c r="T29" s="21">
        <f>2+3+1</f>
        <v>6</v>
      </c>
      <c r="U29" s="22">
        <f t="shared" ref="U29:U40" si="40">T29*100/S29</f>
        <v>1.1583011583011582</v>
      </c>
      <c r="V29" s="92">
        <f>3+0+3</f>
        <v>6</v>
      </c>
      <c r="W29" s="23">
        <f t="shared" ref="W29:W40" si="41">V29*100/S29</f>
        <v>1.1583011583011582</v>
      </c>
      <c r="X29" s="20">
        <v>61</v>
      </c>
      <c r="Y29" s="21">
        <v>1</v>
      </c>
      <c r="Z29" s="22">
        <f t="shared" ref="Z29:Z38" si="42">Y29*100/X29</f>
        <v>1.639344262295082</v>
      </c>
      <c r="AA29" s="21"/>
      <c r="AB29" s="23">
        <f t="shared" ref="AB29:AB40" si="43">AA29*100/X29</f>
        <v>0</v>
      </c>
      <c r="AC29" s="90">
        <f t="shared" ref="AC29:AC40" si="44">X29+S29</f>
        <v>579</v>
      </c>
      <c r="AD29" s="21">
        <f t="shared" ref="AD29:AD40" si="45">Y29+T29</f>
        <v>7</v>
      </c>
      <c r="AE29" s="22">
        <f t="shared" ref="AE29:AE40" si="46">AD29*100/AC29</f>
        <v>1.2089810017271156</v>
      </c>
      <c r="AF29" s="92">
        <f t="shared" ref="AF29:AF40" si="47">AA29+V29</f>
        <v>6</v>
      </c>
      <c r="AG29" s="23">
        <f t="shared" ref="AG29:AG40" si="48">AF29*100/AC29</f>
        <v>1.0362694300518134</v>
      </c>
    </row>
    <row r="30" spans="1:35" ht="36.75" customHeight="1" thickBot="1" x14ac:dyDescent="0.35">
      <c r="A30" s="51">
        <v>6</v>
      </c>
      <c r="B30" s="57" t="s">
        <v>91</v>
      </c>
      <c r="C30" s="50" t="s">
        <v>12</v>
      </c>
      <c r="D30" s="24">
        <v>19</v>
      </c>
      <c r="E30" s="25">
        <v>0</v>
      </c>
      <c r="F30" s="26">
        <f t="shared" si="34"/>
        <v>0</v>
      </c>
      <c r="G30" s="25">
        <v>0</v>
      </c>
      <c r="H30" s="27">
        <f t="shared" si="35"/>
        <v>0</v>
      </c>
      <c r="I30" s="24">
        <v>27</v>
      </c>
      <c r="J30" s="25">
        <v>0</v>
      </c>
      <c r="K30" s="28">
        <f t="shared" si="36"/>
        <v>0</v>
      </c>
      <c r="L30" s="29">
        <v>0</v>
      </c>
      <c r="M30" s="30">
        <f t="shared" si="37"/>
        <v>0</v>
      </c>
      <c r="N30" s="31">
        <v>30</v>
      </c>
      <c r="O30" s="29">
        <v>0</v>
      </c>
      <c r="P30" s="28">
        <f t="shared" si="38"/>
        <v>0</v>
      </c>
      <c r="Q30" s="29">
        <v>0</v>
      </c>
      <c r="R30" s="30">
        <f t="shared" ref="R30:R40" si="49">Q30*100/N30</f>
        <v>0</v>
      </c>
      <c r="S30" s="89">
        <f>19+27+30</f>
        <v>76</v>
      </c>
      <c r="T30" s="29"/>
      <c r="U30" s="28">
        <f t="shared" si="40"/>
        <v>0</v>
      </c>
      <c r="V30" s="58"/>
      <c r="W30" s="30">
        <f t="shared" si="41"/>
        <v>0</v>
      </c>
      <c r="X30" s="31">
        <v>32</v>
      </c>
      <c r="Y30" s="29"/>
      <c r="Z30" s="28">
        <f t="shared" si="42"/>
        <v>0</v>
      </c>
      <c r="AA30" s="29"/>
      <c r="AB30" s="30">
        <f t="shared" si="43"/>
        <v>0</v>
      </c>
      <c r="AC30" s="89">
        <f t="shared" si="44"/>
        <v>108</v>
      </c>
      <c r="AD30" s="29">
        <f t="shared" si="45"/>
        <v>0</v>
      </c>
      <c r="AE30" s="28">
        <f t="shared" si="46"/>
        <v>0</v>
      </c>
      <c r="AF30" s="58">
        <f t="shared" si="47"/>
        <v>0</v>
      </c>
      <c r="AG30" s="30">
        <f t="shared" si="48"/>
        <v>0</v>
      </c>
      <c r="AH30" s="4"/>
    </row>
    <row r="31" spans="1:35" ht="52.5" customHeight="1" thickBot="1" x14ac:dyDescent="0.35">
      <c r="A31" s="51">
        <v>11</v>
      </c>
      <c r="B31" s="57" t="s">
        <v>91</v>
      </c>
      <c r="C31" s="50" t="s">
        <v>17</v>
      </c>
      <c r="D31" s="24">
        <v>31</v>
      </c>
      <c r="E31" s="25">
        <v>0</v>
      </c>
      <c r="F31" s="26">
        <f t="shared" si="34"/>
        <v>0</v>
      </c>
      <c r="G31" s="25">
        <v>0</v>
      </c>
      <c r="H31" s="27">
        <f t="shared" si="35"/>
        <v>0</v>
      </c>
      <c r="I31" s="31">
        <v>79</v>
      </c>
      <c r="J31" s="29">
        <v>0</v>
      </c>
      <c r="K31" s="28">
        <f t="shared" si="36"/>
        <v>0</v>
      </c>
      <c r="L31" s="29">
        <v>0</v>
      </c>
      <c r="M31" s="30">
        <f t="shared" si="37"/>
        <v>0</v>
      </c>
      <c r="N31" s="31">
        <v>65</v>
      </c>
      <c r="O31" s="29">
        <v>0</v>
      </c>
      <c r="P31" s="28">
        <f t="shared" si="38"/>
        <v>0</v>
      </c>
      <c r="Q31" s="29">
        <v>0</v>
      </c>
      <c r="R31" s="30">
        <f t="shared" si="49"/>
        <v>0</v>
      </c>
      <c r="S31" s="89">
        <f>31+79+65</f>
        <v>175</v>
      </c>
      <c r="T31" s="29"/>
      <c r="U31" s="28">
        <f t="shared" si="40"/>
        <v>0</v>
      </c>
      <c r="V31" s="58"/>
      <c r="W31" s="30">
        <f t="shared" si="41"/>
        <v>0</v>
      </c>
      <c r="X31" s="31">
        <v>60</v>
      </c>
      <c r="Y31" s="29"/>
      <c r="Z31" s="28">
        <f t="shared" si="42"/>
        <v>0</v>
      </c>
      <c r="AA31" s="29"/>
      <c r="AB31" s="30">
        <f t="shared" si="43"/>
        <v>0</v>
      </c>
      <c r="AC31" s="89">
        <f t="shared" si="44"/>
        <v>235</v>
      </c>
      <c r="AD31" s="29">
        <f t="shared" si="45"/>
        <v>0</v>
      </c>
      <c r="AE31" s="28">
        <f t="shared" si="46"/>
        <v>0</v>
      </c>
      <c r="AF31" s="58">
        <f t="shared" si="47"/>
        <v>0</v>
      </c>
      <c r="AG31" s="30">
        <f t="shared" si="48"/>
        <v>0</v>
      </c>
      <c r="AH31" s="4"/>
      <c r="AI31" s="4"/>
    </row>
    <row r="32" spans="1:35" ht="67.5" customHeight="1" thickBot="1" x14ac:dyDescent="0.35">
      <c r="A32" s="51">
        <v>17</v>
      </c>
      <c r="B32" s="57" t="s">
        <v>91</v>
      </c>
      <c r="C32" s="50" t="s">
        <v>23</v>
      </c>
      <c r="D32" s="24">
        <v>44</v>
      </c>
      <c r="E32" s="25">
        <v>0</v>
      </c>
      <c r="F32" s="26">
        <f t="shared" si="34"/>
        <v>0</v>
      </c>
      <c r="G32" s="25">
        <v>0</v>
      </c>
      <c r="H32" s="27">
        <f t="shared" si="35"/>
        <v>0</v>
      </c>
      <c r="I32" s="31">
        <v>32</v>
      </c>
      <c r="J32" s="29">
        <v>0</v>
      </c>
      <c r="K32" s="28">
        <f t="shared" si="36"/>
        <v>0</v>
      </c>
      <c r="L32" s="29">
        <v>0</v>
      </c>
      <c r="M32" s="30">
        <f t="shared" si="37"/>
        <v>0</v>
      </c>
      <c r="N32" s="31">
        <v>41</v>
      </c>
      <c r="O32" s="29">
        <v>0</v>
      </c>
      <c r="P32" s="28">
        <f t="shared" si="38"/>
        <v>0</v>
      </c>
      <c r="Q32" s="29">
        <v>0</v>
      </c>
      <c r="R32" s="30">
        <f t="shared" si="49"/>
        <v>0</v>
      </c>
      <c r="S32" s="89">
        <f>44+32+41</f>
        <v>117</v>
      </c>
      <c r="T32" s="29"/>
      <c r="U32" s="28">
        <f t="shared" si="40"/>
        <v>0</v>
      </c>
      <c r="V32" s="58"/>
      <c r="W32" s="30">
        <f t="shared" si="41"/>
        <v>0</v>
      </c>
      <c r="X32" s="31">
        <v>35</v>
      </c>
      <c r="Y32" s="29"/>
      <c r="Z32" s="28">
        <f t="shared" si="42"/>
        <v>0</v>
      </c>
      <c r="AA32" s="29"/>
      <c r="AB32" s="30">
        <f t="shared" si="43"/>
        <v>0</v>
      </c>
      <c r="AC32" s="89">
        <f t="shared" si="44"/>
        <v>152</v>
      </c>
      <c r="AD32" s="29">
        <f t="shared" si="45"/>
        <v>0</v>
      </c>
      <c r="AE32" s="28">
        <f t="shared" si="46"/>
        <v>0</v>
      </c>
      <c r="AF32" s="58">
        <f t="shared" si="47"/>
        <v>0</v>
      </c>
      <c r="AG32" s="30">
        <f t="shared" si="48"/>
        <v>0</v>
      </c>
      <c r="AH32" s="4"/>
      <c r="AI32" s="4"/>
    </row>
    <row r="33" spans="1:35" ht="48.75" customHeight="1" thickBot="1" x14ac:dyDescent="0.35">
      <c r="A33" s="51">
        <v>22</v>
      </c>
      <c r="B33" s="57" t="s">
        <v>91</v>
      </c>
      <c r="C33" s="50" t="s">
        <v>28</v>
      </c>
      <c r="D33" s="24">
        <v>23</v>
      </c>
      <c r="E33" s="25">
        <v>0</v>
      </c>
      <c r="F33" s="26">
        <f t="shared" si="34"/>
        <v>0</v>
      </c>
      <c r="G33" s="25">
        <v>0</v>
      </c>
      <c r="H33" s="27">
        <f t="shared" si="35"/>
        <v>0</v>
      </c>
      <c r="I33" s="31">
        <v>20</v>
      </c>
      <c r="J33" s="29">
        <v>0</v>
      </c>
      <c r="K33" s="28">
        <f t="shared" si="36"/>
        <v>0</v>
      </c>
      <c r="L33" s="29">
        <v>0</v>
      </c>
      <c r="M33" s="30">
        <f t="shared" si="37"/>
        <v>0</v>
      </c>
      <c r="N33" s="31">
        <v>25</v>
      </c>
      <c r="O33" s="29">
        <v>0</v>
      </c>
      <c r="P33" s="28">
        <f t="shared" si="38"/>
        <v>0</v>
      </c>
      <c r="Q33" s="29">
        <v>0</v>
      </c>
      <c r="R33" s="30">
        <f t="shared" si="49"/>
        <v>0</v>
      </c>
      <c r="S33" s="89">
        <f>23+20+25</f>
        <v>68</v>
      </c>
      <c r="T33" s="29"/>
      <c r="U33" s="28">
        <f t="shared" si="40"/>
        <v>0</v>
      </c>
      <c r="V33" s="58"/>
      <c r="W33" s="30">
        <f t="shared" si="41"/>
        <v>0</v>
      </c>
      <c r="X33" s="31">
        <v>17</v>
      </c>
      <c r="Y33" s="29"/>
      <c r="Z33" s="28">
        <f t="shared" si="42"/>
        <v>0</v>
      </c>
      <c r="AA33" s="29"/>
      <c r="AB33" s="30">
        <f t="shared" si="43"/>
        <v>0</v>
      </c>
      <c r="AC33" s="89">
        <f t="shared" si="44"/>
        <v>85</v>
      </c>
      <c r="AD33" s="29">
        <f t="shared" si="45"/>
        <v>0</v>
      </c>
      <c r="AE33" s="28">
        <f t="shared" si="46"/>
        <v>0</v>
      </c>
      <c r="AF33" s="58">
        <f t="shared" si="47"/>
        <v>0</v>
      </c>
      <c r="AG33" s="30">
        <f t="shared" si="48"/>
        <v>0</v>
      </c>
      <c r="AH33" s="4"/>
      <c r="AI33" s="4"/>
    </row>
    <row r="34" spans="1:35" ht="48" thickBot="1" x14ac:dyDescent="0.35">
      <c r="A34" s="51">
        <v>25</v>
      </c>
      <c r="B34" s="57" t="s">
        <v>91</v>
      </c>
      <c r="C34" s="50" t="s">
        <v>31</v>
      </c>
      <c r="D34" s="24">
        <v>14</v>
      </c>
      <c r="E34" s="25">
        <v>0</v>
      </c>
      <c r="F34" s="26">
        <f t="shared" si="34"/>
        <v>0</v>
      </c>
      <c r="G34" s="25">
        <v>0</v>
      </c>
      <c r="H34" s="27">
        <f t="shared" si="35"/>
        <v>0</v>
      </c>
      <c r="I34" s="31">
        <v>27</v>
      </c>
      <c r="J34" s="29">
        <v>0</v>
      </c>
      <c r="K34" s="28">
        <f t="shared" si="36"/>
        <v>0</v>
      </c>
      <c r="L34" s="29">
        <v>0</v>
      </c>
      <c r="M34" s="30">
        <f t="shared" si="37"/>
        <v>0</v>
      </c>
      <c r="N34" s="31">
        <v>8</v>
      </c>
      <c r="O34" s="29">
        <v>0</v>
      </c>
      <c r="P34" s="28">
        <f t="shared" si="38"/>
        <v>0</v>
      </c>
      <c r="Q34" s="29">
        <v>0</v>
      </c>
      <c r="R34" s="30">
        <f t="shared" si="49"/>
        <v>0</v>
      </c>
      <c r="S34" s="89">
        <f>14+27+8</f>
        <v>49</v>
      </c>
      <c r="T34" s="29"/>
      <c r="U34" s="28">
        <f t="shared" si="40"/>
        <v>0</v>
      </c>
      <c r="V34" s="58"/>
      <c r="W34" s="30">
        <f t="shared" si="41"/>
        <v>0</v>
      </c>
      <c r="X34" s="31">
        <v>15</v>
      </c>
      <c r="Y34" s="29"/>
      <c r="Z34" s="28">
        <f t="shared" si="42"/>
        <v>0</v>
      </c>
      <c r="AA34" s="29"/>
      <c r="AB34" s="30">
        <f t="shared" si="43"/>
        <v>0</v>
      </c>
      <c r="AC34" s="89">
        <f t="shared" si="44"/>
        <v>64</v>
      </c>
      <c r="AD34" s="29">
        <f t="shared" si="45"/>
        <v>0</v>
      </c>
      <c r="AE34" s="28">
        <f t="shared" si="46"/>
        <v>0</v>
      </c>
      <c r="AF34" s="58">
        <f t="shared" si="47"/>
        <v>0</v>
      </c>
      <c r="AG34" s="30">
        <f t="shared" si="48"/>
        <v>0</v>
      </c>
      <c r="AH34" s="4"/>
      <c r="AI34" s="4"/>
    </row>
    <row r="35" spans="1:35" ht="32.25" thickBot="1" x14ac:dyDescent="0.35">
      <c r="A35" s="51">
        <v>32</v>
      </c>
      <c r="B35" s="57" t="s">
        <v>91</v>
      </c>
      <c r="C35" s="50" t="s">
        <v>38</v>
      </c>
      <c r="D35" s="24">
        <v>10</v>
      </c>
      <c r="E35" s="25">
        <v>0</v>
      </c>
      <c r="F35" s="26">
        <f t="shared" si="34"/>
        <v>0</v>
      </c>
      <c r="G35" s="25">
        <v>0</v>
      </c>
      <c r="H35" s="27">
        <f t="shared" si="35"/>
        <v>0</v>
      </c>
      <c r="I35" s="31">
        <v>8</v>
      </c>
      <c r="J35" s="29">
        <v>0</v>
      </c>
      <c r="K35" s="28">
        <f t="shared" si="36"/>
        <v>0</v>
      </c>
      <c r="L35" s="29">
        <v>0</v>
      </c>
      <c r="M35" s="30">
        <f t="shared" si="37"/>
        <v>0</v>
      </c>
      <c r="N35" s="31">
        <v>7</v>
      </c>
      <c r="O35" s="29">
        <v>0</v>
      </c>
      <c r="P35" s="28">
        <f t="shared" si="38"/>
        <v>0</v>
      </c>
      <c r="Q35" s="29">
        <v>0</v>
      </c>
      <c r="R35" s="30">
        <f t="shared" si="49"/>
        <v>0</v>
      </c>
      <c r="S35" s="89">
        <f>10+8+7</f>
        <v>25</v>
      </c>
      <c r="T35" s="29"/>
      <c r="U35" s="28">
        <f t="shared" si="40"/>
        <v>0</v>
      </c>
      <c r="V35" s="58"/>
      <c r="W35" s="30">
        <f t="shared" si="41"/>
        <v>0</v>
      </c>
      <c r="X35" s="31">
        <v>5</v>
      </c>
      <c r="Y35" s="29"/>
      <c r="Z35" s="28">
        <f t="shared" si="42"/>
        <v>0</v>
      </c>
      <c r="AA35" s="29"/>
      <c r="AB35" s="30">
        <f t="shared" si="43"/>
        <v>0</v>
      </c>
      <c r="AC35" s="89">
        <f t="shared" si="44"/>
        <v>30</v>
      </c>
      <c r="AD35" s="29">
        <f t="shared" si="45"/>
        <v>0</v>
      </c>
      <c r="AE35" s="28">
        <f t="shared" si="46"/>
        <v>0</v>
      </c>
      <c r="AF35" s="58">
        <f t="shared" si="47"/>
        <v>0</v>
      </c>
      <c r="AG35" s="30">
        <f t="shared" si="48"/>
        <v>0</v>
      </c>
      <c r="AH35" s="4"/>
      <c r="AI35" s="4"/>
    </row>
    <row r="36" spans="1:35" ht="32.25" thickBot="1" x14ac:dyDescent="0.35">
      <c r="A36" s="51">
        <v>47</v>
      </c>
      <c r="B36" s="57" t="s">
        <v>91</v>
      </c>
      <c r="C36" s="50" t="s">
        <v>53</v>
      </c>
      <c r="D36" s="24">
        <v>38</v>
      </c>
      <c r="E36" s="25">
        <v>0</v>
      </c>
      <c r="F36" s="26">
        <f t="shared" si="34"/>
        <v>0</v>
      </c>
      <c r="G36" s="25">
        <v>0</v>
      </c>
      <c r="H36" s="30">
        <f t="shared" si="35"/>
        <v>0</v>
      </c>
      <c r="I36" s="31">
        <v>55</v>
      </c>
      <c r="J36" s="29">
        <v>0</v>
      </c>
      <c r="K36" s="28">
        <f t="shared" si="36"/>
        <v>0</v>
      </c>
      <c r="L36" s="29">
        <v>0</v>
      </c>
      <c r="M36" s="30">
        <f t="shared" si="37"/>
        <v>0</v>
      </c>
      <c r="N36" s="31">
        <v>80</v>
      </c>
      <c r="O36" s="29">
        <v>0</v>
      </c>
      <c r="P36" s="28">
        <f t="shared" si="38"/>
        <v>0</v>
      </c>
      <c r="Q36" s="29">
        <v>0</v>
      </c>
      <c r="R36" s="30">
        <f t="shared" si="49"/>
        <v>0</v>
      </c>
      <c r="S36" s="89">
        <f>38+55+0</f>
        <v>93</v>
      </c>
      <c r="T36" s="29"/>
      <c r="U36" s="28">
        <f t="shared" si="40"/>
        <v>0</v>
      </c>
      <c r="V36" s="58"/>
      <c r="W36" s="30">
        <f t="shared" si="41"/>
        <v>0</v>
      </c>
      <c r="X36" s="31">
        <v>59</v>
      </c>
      <c r="Y36" s="29"/>
      <c r="Z36" s="28">
        <f t="shared" si="42"/>
        <v>0</v>
      </c>
      <c r="AA36" s="29"/>
      <c r="AB36" s="30">
        <f t="shared" si="43"/>
        <v>0</v>
      </c>
      <c r="AC36" s="89">
        <f t="shared" si="44"/>
        <v>152</v>
      </c>
      <c r="AD36" s="29">
        <f t="shared" si="45"/>
        <v>0</v>
      </c>
      <c r="AE36" s="28">
        <f t="shared" si="46"/>
        <v>0</v>
      </c>
      <c r="AF36" s="58">
        <f t="shared" si="47"/>
        <v>0</v>
      </c>
      <c r="AG36" s="30">
        <f t="shared" si="48"/>
        <v>0</v>
      </c>
      <c r="AH36" s="4"/>
      <c r="AI36" s="4"/>
    </row>
    <row r="37" spans="1:35" ht="66" customHeight="1" thickBot="1" x14ac:dyDescent="0.35">
      <c r="A37" s="51">
        <v>50</v>
      </c>
      <c r="B37" s="57" t="s">
        <v>91</v>
      </c>
      <c r="C37" s="50" t="s">
        <v>56</v>
      </c>
      <c r="D37" s="24">
        <v>3</v>
      </c>
      <c r="E37" s="25">
        <v>0</v>
      </c>
      <c r="F37" s="26">
        <f t="shared" si="34"/>
        <v>0</v>
      </c>
      <c r="G37" s="25">
        <v>0</v>
      </c>
      <c r="H37" s="27">
        <f t="shared" si="35"/>
        <v>0</v>
      </c>
      <c r="I37" s="24">
        <v>0</v>
      </c>
      <c r="J37" s="29">
        <v>0</v>
      </c>
      <c r="K37" s="28"/>
      <c r="L37" s="29">
        <v>0</v>
      </c>
      <c r="M37" s="30"/>
      <c r="N37" s="31">
        <v>3</v>
      </c>
      <c r="O37" s="29">
        <v>0</v>
      </c>
      <c r="P37" s="28">
        <f t="shared" si="38"/>
        <v>0</v>
      </c>
      <c r="Q37" s="29">
        <v>0</v>
      </c>
      <c r="R37" s="30">
        <f t="shared" si="49"/>
        <v>0</v>
      </c>
      <c r="S37" s="89">
        <f>3+0+3</f>
        <v>6</v>
      </c>
      <c r="T37" s="29"/>
      <c r="U37" s="28">
        <f t="shared" si="40"/>
        <v>0</v>
      </c>
      <c r="V37" s="58"/>
      <c r="W37" s="30">
        <f t="shared" si="41"/>
        <v>0</v>
      </c>
      <c r="X37" s="31"/>
      <c r="Y37" s="29"/>
      <c r="Z37" s="28"/>
      <c r="AA37" s="29"/>
      <c r="AB37" s="30"/>
      <c r="AC37" s="89">
        <f t="shared" si="44"/>
        <v>6</v>
      </c>
      <c r="AD37" s="29">
        <f t="shared" si="45"/>
        <v>0</v>
      </c>
      <c r="AE37" s="28">
        <f t="shared" si="46"/>
        <v>0</v>
      </c>
      <c r="AF37" s="58">
        <f t="shared" si="47"/>
        <v>0</v>
      </c>
      <c r="AG37" s="30">
        <f t="shared" si="48"/>
        <v>0</v>
      </c>
      <c r="AH37" s="4"/>
      <c r="AI37" s="4"/>
    </row>
    <row r="38" spans="1:35" ht="79.5" customHeight="1" thickBot="1" x14ac:dyDescent="0.35">
      <c r="A38" s="10">
        <v>51</v>
      </c>
      <c r="B38" s="57" t="s">
        <v>91</v>
      </c>
      <c r="C38" s="11" t="s">
        <v>57</v>
      </c>
      <c r="D38" s="20">
        <v>113</v>
      </c>
      <c r="E38" s="21">
        <v>64</v>
      </c>
      <c r="F38" s="22">
        <f t="shared" si="34"/>
        <v>56.637168141592923</v>
      </c>
      <c r="G38" s="21">
        <v>0</v>
      </c>
      <c r="H38" s="23">
        <f t="shared" si="35"/>
        <v>0</v>
      </c>
      <c r="I38" s="20">
        <v>292</v>
      </c>
      <c r="J38" s="21">
        <v>223</v>
      </c>
      <c r="K38" s="22">
        <f>J38*100/I38</f>
        <v>76.369863013698634</v>
      </c>
      <c r="L38" s="21">
        <v>0</v>
      </c>
      <c r="M38" s="23">
        <f>L38*100/I38</f>
        <v>0</v>
      </c>
      <c r="N38" s="20">
        <v>127</v>
      </c>
      <c r="O38" s="21">
        <v>55</v>
      </c>
      <c r="P38" s="22">
        <f t="shared" si="38"/>
        <v>43.30708661417323</v>
      </c>
      <c r="Q38" s="21">
        <v>0</v>
      </c>
      <c r="R38" s="23">
        <f t="shared" si="49"/>
        <v>0</v>
      </c>
      <c r="S38" s="90">
        <f>113+292+127</f>
        <v>532</v>
      </c>
      <c r="T38" s="21">
        <f>64+223+55</f>
        <v>342</v>
      </c>
      <c r="U38" s="22">
        <f t="shared" si="40"/>
        <v>64.285714285714292</v>
      </c>
      <c r="V38" s="92"/>
      <c r="W38" s="23">
        <f t="shared" si="41"/>
        <v>0</v>
      </c>
      <c r="X38" s="20">
        <v>77</v>
      </c>
      <c r="Y38" s="21">
        <v>45</v>
      </c>
      <c r="Z38" s="22">
        <f t="shared" si="42"/>
        <v>58.441558441558442</v>
      </c>
      <c r="AA38" s="21"/>
      <c r="AB38" s="23">
        <f t="shared" si="43"/>
        <v>0</v>
      </c>
      <c r="AC38" s="90">
        <f t="shared" si="44"/>
        <v>609</v>
      </c>
      <c r="AD38" s="21">
        <v>285</v>
      </c>
      <c r="AE38" s="22">
        <f t="shared" si="46"/>
        <v>46.798029556650249</v>
      </c>
      <c r="AF38" s="92">
        <f t="shared" si="47"/>
        <v>0</v>
      </c>
      <c r="AG38" s="23">
        <f t="shared" si="48"/>
        <v>0</v>
      </c>
    </row>
    <row r="39" spans="1:35" ht="66.75" customHeight="1" thickBot="1" x14ac:dyDescent="0.35">
      <c r="A39" s="51">
        <v>57</v>
      </c>
      <c r="B39" s="57" t="s">
        <v>91</v>
      </c>
      <c r="C39" s="50" t="s">
        <v>63</v>
      </c>
      <c r="D39" s="24">
        <v>4</v>
      </c>
      <c r="E39" s="25">
        <v>0</v>
      </c>
      <c r="F39" s="26">
        <f t="shared" si="34"/>
        <v>0</v>
      </c>
      <c r="G39" s="25">
        <v>0</v>
      </c>
      <c r="H39" s="27">
        <f t="shared" si="35"/>
        <v>0</v>
      </c>
      <c r="I39" s="31">
        <v>1</v>
      </c>
      <c r="J39" s="29">
        <v>0</v>
      </c>
      <c r="K39" s="28">
        <f>J39*100/I39</f>
        <v>0</v>
      </c>
      <c r="L39" s="29">
        <v>0</v>
      </c>
      <c r="M39" s="30">
        <f>L39*100/I39</f>
        <v>0</v>
      </c>
      <c r="N39" s="31">
        <v>4</v>
      </c>
      <c r="O39" s="29">
        <v>0</v>
      </c>
      <c r="P39" s="28">
        <f t="shared" si="38"/>
        <v>0</v>
      </c>
      <c r="Q39" s="29">
        <v>0</v>
      </c>
      <c r="R39" s="30">
        <f t="shared" si="49"/>
        <v>0</v>
      </c>
      <c r="S39" s="89">
        <f>4+0+4</f>
        <v>8</v>
      </c>
      <c r="T39" s="29"/>
      <c r="U39" s="28">
        <f t="shared" si="40"/>
        <v>0</v>
      </c>
      <c r="V39" s="58"/>
      <c r="W39" s="30">
        <f t="shared" si="41"/>
        <v>0</v>
      </c>
      <c r="X39" s="31">
        <v>6</v>
      </c>
      <c r="Y39" s="29"/>
      <c r="Z39" s="28"/>
      <c r="AA39" s="29"/>
      <c r="AB39" s="30">
        <f t="shared" si="43"/>
        <v>0</v>
      </c>
      <c r="AC39" s="89">
        <f t="shared" si="44"/>
        <v>14</v>
      </c>
      <c r="AD39" s="29">
        <f t="shared" si="45"/>
        <v>0</v>
      </c>
      <c r="AE39" s="28">
        <f t="shared" si="46"/>
        <v>0</v>
      </c>
      <c r="AF39" s="58">
        <f t="shared" si="47"/>
        <v>0</v>
      </c>
      <c r="AG39" s="30">
        <f t="shared" si="48"/>
        <v>0</v>
      </c>
      <c r="AH39" s="4"/>
    </row>
    <row r="40" spans="1:35" ht="48" thickBot="1" x14ac:dyDescent="0.35">
      <c r="A40" s="51">
        <v>40</v>
      </c>
      <c r="B40" s="57" t="s">
        <v>91</v>
      </c>
      <c r="C40" s="95" t="s">
        <v>46</v>
      </c>
      <c r="D40" s="59">
        <v>0</v>
      </c>
      <c r="E40" s="60">
        <v>0</v>
      </c>
      <c r="F40" s="61"/>
      <c r="G40" s="60">
        <v>0</v>
      </c>
      <c r="H40" s="66"/>
      <c r="I40" s="63">
        <v>2</v>
      </c>
      <c r="J40" s="64">
        <v>0</v>
      </c>
      <c r="K40" s="65">
        <f>J40*100/I40</f>
        <v>0</v>
      </c>
      <c r="L40" s="64">
        <v>0</v>
      </c>
      <c r="M40" s="66">
        <f>L40*100/I40</f>
        <v>0</v>
      </c>
      <c r="N40" s="63">
        <v>7</v>
      </c>
      <c r="O40" s="64">
        <v>0</v>
      </c>
      <c r="P40" s="65">
        <f t="shared" si="38"/>
        <v>0</v>
      </c>
      <c r="Q40" s="64">
        <v>0</v>
      </c>
      <c r="R40" s="66">
        <f t="shared" si="49"/>
        <v>0</v>
      </c>
      <c r="S40" s="96">
        <f>0+2+7</f>
        <v>9</v>
      </c>
      <c r="T40" s="64"/>
      <c r="U40" s="28">
        <f t="shared" si="40"/>
        <v>0</v>
      </c>
      <c r="V40" s="97"/>
      <c r="W40" s="30">
        <f t="shared" si="41"/>
        <v>0</v>
      </c>
      <c r="X40" s="63">
        <v>8</v>
      </c>
      <c r="Y40" s="64"/>
      <c r="Z40" s="28"/>
      <c r="AA40" s="64"/>
      <c r="AB40" s="30">
        <f t="shared" si="43"/>
        <v>0</v>
      </c>
      <c r="AC40" s="89">
        <f t="shared" si="44"/>
        <v>17</v>
      </c>
      <c r="AD40" s="29">
        <f t="shared" si="45"/>
        <v>0</v>
      </c>
      <c r="AE40" s="28">
        <f t="shared" si="46"/>
        <v>0</v>
      </c>
      <c r="AF40" s="58">
        <f t="shared" si="47"/>
        <v>0</v>
      </c>
      <c r="AG40" s="30">
        <f t="shared" si="48"/>
        <v>0</v>
      </c>
      <c r="AH40" s="4"/>
      <c r="AI40" s="4"/>
    </row>
    <row r="41" spans="1:35" s="94" customFormat="1" ht="21" thickBot="1" x14ac:dyDescent="0.35">
      <c r="A41" s="93"/>
      <c r="B41" s="141"/>
      <c r="C41" s="77" t="s">
        <v>120</v>
      </c>
      <c r="D41" s="105"/>
      <c r="E41" s="106"/>
      <c r="F41" s="107"/>
      <c r="G41" s="106"/>
      <c r="H41" s="108"/>
      <c r="I41" s="105"/>
      <c r="J41" s="106"/>
      <c r="K41" s="107"/>
      <c r="L41" s="106"/>
      <c r="M41" s="108"/>
      <c r="N41" s="105"/>
      <c r="O41" s="106"/>
      <c r="P41" s="107"/>
      <c r="Q41" s="106"/>
      <c r="R41" s="108"/>
      <c r="S41" s="120">
        <f>SUM(S29:S40)</f>
        <v>1676</v>
      </c>
      <c r="T41" s="120">
        <f>SUM(T29:T40)</f>
        <v>348</v>
      </c>
      <c r="U41" s="121">
        <f>T41*100/(S29+S38)</f>
        <v>33.142857142857146</v>
      </c>
      <c r="V41" s="120">
        <f>SUM(V29:V40)</f>
        <v>6</v>
      </c>
      <c r="W41" s="122">
        <f>V41*100/S41</f>
        <v>0.35799522673031026</v>
      </c>
      <c r="X41" s="120">
        <f>SUM(X29:X40)</f>
        <v>375</v>
      </c>
      <c r="Y41" s="120">
        <f>SUM(Y29:Y40)</f>
        <v>46</v>
      </c>
      <c r="Z41" s="121">
        <f>Y41*100/(X29+X38)</f>
        <v>33.333333333333336</v>
      </c>
      <c r="AA41" s="120">
        <f>SUM(AA29:AA40)</f>
        <v>0</v>
      </c>
      <c r="AB41" s="122">
        <f>AA41*100/X41</f>
        <v>0</v>
      </c>
      <c r="AC41" s="120">
        <f>SUM(AC29:AC40)</f>
        <v>2051</v>
      </c>
      <c r="AD41" s="120">
        <f>SUM(AD29:AD40)</f>
        <v>292</v>
      </c>
      <c r="AE41" s="121">
        <f>AD41*100/(AC29+AC38)</f>
        <v>24.579124579124578</v>
      </c>
      <c r="AF41" s="120">
        <f>SUM(AF29:AF40)</f>
        <v>6</v>
      </c>
      <c r="AG41" s="122">
        <f>AF41*100/AC41</f>
        <v>0.29254022428083859</v>
      </c>
    </row>
    <row r="42" spans="1:35" s="94" customFormat="1" ht="21" thickBot="1" x14ac:dyDescent="0.35">
      <c r="A42" s="93"/>
      <c r="B42" s="141"/>
      <c r="C42" s="114" t="s">
        <v>123</v>
      </c>
      <c r="D42" s="115"/>
      <c r="E42" s="116"/>
      <c r="F42" s="117"/>
      <c r="G42" s="116"/>
      <c r="H42" s="118"/>
      <c r="I42" s="115"/>
      <c r="J42" s="116"/>
      <c r="K42" s="117"/>
      <c r="L42" s="116"/>
      <c r="M42" s="118"/>
      <c r="N42" s="115"/>
      <c r="O42" s="116"/>
      <c r="P42" s="117"/>
      <c r="Q42" s="116"/>
      <c r="R42" s="119"/>
      <c r="S42" s="105">
        <f>S28+S41</f>
        <v>2963</v>
      </c>
      <c r="T42" s="105">
        <f>T28+T41</f>
        <v>348</v>
      </c>
      <c r="U42" s="107">
        <f>T42*100/(S38+S29+S24)</f>
        <v>21.142162818955043</v>
      </c>
      <c r="V42" s="105">
        <f>V28+V41</f>
        <v>6</v>
      </c>
      <c r="W42" s="108">
        <f>V42*100/S42</f>
        <v>0.20249746878164024</v>
      </c>
      <c r="X42" s="105">
        <f>X28+X41</f>
        <v>501</v>
      </c>
      <c r="Y42" s="105">
        <f>Y28+Y41</f>
        <v>46</v>
      </c>
      <c r="Z42" s="107">
        <f>Y42*100/(X38+X29+X24)</f>
        <v>33.093525179856115</v>
      </c>
      <c r="AA42" s="105">
        <f>AA28+AA41</f>
        <v>0</v>
      </c>
      <c r="AB42" s="108">
        <f>AA42*100/X42</f>
        <v>0</v>
      </c>
      <c r="AC42" s="105">
        <f>AC28+AC41</f>
        <v>3464</v>
      </c>
      <c r="AD42" s="105">
        <f>AD28+AD41</f>
        <v>292</v>
      </c>
      <c r="AE42" s="107">
        <f>AD42*100/(AC38+AC29+AC24)</f>
        <v>16.358543417366946</v>
      </c>
      <c r="AF42" s="105">
        <f>AF28+AF41</f>
        <v>6</v>
      </c>
      <c r="AG42" s="108">
        <f>AF42*100/AC42</f>
        <v>0.17321016166281755</v>
      </c>
    </row>
    <row r="43" spans="1:35" ht="32.25" thickBot="1" x14ac:dyDescent="0.35">
      <c r="A43" s="56">
        <v>2</v>
      </c>
      <c r="B43" s="57" t="s">
        <v>92</v>
      </c>
      <c r="C43" s="98" t="s">
        <v>8</v>
      </c>
      <c r="D43" s="99">
        <v>424</v>
      </c>
      <c r="E43" s="100">
        <v>181</v>
      </c>
      <c r="F43" s="101">
        <f t="shared" ref="F43:F93" si="50">E43*100/D43</f>
        <v>42.688679245283019</v>
      </c>
      <c r="G43" s="100">
        <v>0</v>
      </c>
      <c r="H43" s="102">
        <f t="shared" ref="H43:H93" si="51">G43*100/D43</f>
        <v>0</v>
      </c>
      <c r="I43" s="99">
        <v>552</v>
      </c>
      <c r="J43" s="100">
        <v>240</v>
      </c>
      <c r="K43" s="101">
        <f t="shared" ref="K43:K93" si="52">J43*100/I43</f>
        <v>43.478260869565219</v>
      </c>
      <c r="L43" s="100">
        <v>0</v>
      </c>
      <c r="M43" s="102">
        <f t="shared" ref="M43:M93" si="53">L43*100/I43</f>
        <v>0</v>
      </c>
      <c r="N43" s="99">
        <v>660</v>
      </c>
      <c r="O43" s="100">
        <v>275</v>
      </c>
      <c r="P43" s="101">
        <f t="shared" ref="P43:P93" si="54">O43*100/N43</f>
        <v>41.666666666666664</v>
      </c>
      <c r="Q43" s="100">
        <v>0</v>
      </c>
      <c r="R43" s="102">
        <f t="shared" si="39"/>
        <v>0</v>
      </c>
      <c r="S43" s="103">
        <f>424+552+660</f>
        <v>1636</v>
      </c>
      <c r="T43" s="100">
        <f>181+240+275</f>
        <v>696</v>
      </c>
      <c r="U43" s="22">
        <f t="shared" ref="U43" si="55">T43*100/S43</f>
        <v>42.542787286063572</v>
      </c>
      <c r="V43" s="104"/>
      <c r="W43" s="23">
        <f t="shared" ref="W43:W44" si="56">V43*100/S43</f>
        <v>0</v>
      </c>
      <c r="X43" s="99">
        <v>309</v>
      </c>
      <c r="Y43" s="100">
        <v>309</v>
      </c>
      <c r="Z43" s="22">
        <f t="shared" ref="Z43" si="57">Y43*100/X43</f>
        <v>100</v>
      </c>
      <c r="AA43" s="100"/>
      <c r="AB43" s="23">
        <f t="shared" ref="AB43" si="58">AA43*100/X43</f>
        <v>0</v>
      </c>
      <c r="AC43" s="90">
        <f t="shared" ref="AC43:AC44" si="59">X43+S43</f>
        <v>1945</v>
      </c>
      <c r="AD43" s="21">
        <f t="shared" ref="AD43:AD44" si="60">Y43+T43</f>
        <v>1005</v>
      </c>
      <c r="AE43" s="22">
        <f t="shared" ref="AE43:AE44" si="61">AD43*100/AC43</f>
        <v>51.670951156812336</v>
      </c>
      <c r="AF43" s="92">
        <f t="shared" ref="AF43:AF44" si="62">AA43+V43</f>
        <v>0</v>
      </c>
      <c r="AG43" s="23">
        <f t="shared" ref="AG43:AG44" si="63">AF43*100/AC43</f>
        <v>0</v>
      </c>
    </row>
    <row r="44" spans="1:35" ht="32.25" thickBot="1" x14ac:dyDescent="0.35">
      <c r="A44" s="51">
        <v>56</v>
      </c>
      <c r="B44" s="57" t="s">
        <v>92</v>
      </c>
      <c r="C44" s="50" t="s">
        <v>62</v>
      </c>
      <c r="D44" s="24">
        <v>0</v>
      </c>
      <c r="E44" s="25">
        <v>0</v>
      </c>
      <c r="F44" s="26"/>
      <c r="G44" s="25">
        <v>0</v>
      </c>
      <c r="H44" s="27"/>
      <c r="I44" s="31">
        <v>2</v>
      </c>
      <c r="J44" s="29">
        <v>0</v>
      </c>
      <c r="K44" s="28">
        <f>J44*100/I44</f>
        <v>0</v>
      </c>
      <c r="L44" s="29">
        <v>0</v>
      </c>
      <c r="M44" s="30">
        <f>L44*100/I44</f>
        <v>0</v>
      </c>
      <c r="N44" s="31">
        <v>1</v>
      </c>
      <c r="O44" s="29">
        <v>0</v>
      </c>
      <c r="P44" s="28">
        <f>O44*100/N44</f>
        <v>0</v>
      </c>
      <c r="Q44" s="29">
        <v>0</v>
      </c>
      <c r="R44" s="30">
        <f>Q44*100/N44</f>
        <v>0</v>
      </c>
      <c r="S44" s="96">
        <f>0+2+1</f>
        <v>3</v>
      </c>
      <c r="T44" s="64"/>
      <c r="U44" s="28">
        <f t="shared" ref="U44:U84" si="64">T44*100/S44</f>
        <v>0</v>
      </c>
      <c r="V44" s="97"/>
      <c r="W44" s="30">
        <f t="shared" si="56"/>
        <v>0</v>
      </c>
      <c r="X44" s="63"/>
      <c r="Y44" s="64"/>
      <c r="Z44" s="28"/>
      <c r="AA44" s="64"/>
      <c r="AB44" s="30"/>
      <c r="AC44" s="89">
        <f t="shared" si="59"/>
        <v>3</v>
      </c>
      <c r="AD44" s="29">
        <f t="shared" si="60"/>
        <v>0</v>
      </c>
      <c r="AE44" s="28">
        <f t="shared" si="61"/>
        <v>0</v>
      </c>
      <c r="AF44" s="58">
        <f t="shared" si="62"/>
        <v>0</v>
      </c>
      <c r="AG44" s="30">
        <f t="shared" si="63"/>
        <v>0</v>
      </c>
      <c r="AH44" s="4"/>
    </row>
    <row r="45" spans="1:35" ht="21" thickBot="1" x14ac:dyDescent="0.35">
      <c r="A45" s="51"/>
      <c r="B45" s="57"/>
      <c r="C45" s="77" t="s">
        <v>121</v>
      </c>
      <c r="D45" s="24"/>
      <c r="E45" s="25"/>
      <c r="F45" s="26"/>
      <c r="G45" s="25"/>
      <c r="H45" s="27"/>
      <c r="I45" s="31"/>
      <c r="J45" s="29"/>
      <c r="K45" s="28"/>
      <c r="L45" s="29"/>
      <c r="M45" s="30"/>
      <c r="N45" s="31"/>
      <c r="O45" s="29"/>
      <c r="P45" s="28"/>
      <c r="Q45" s="29"/>
      <c r="R45" s="30"/>
      <c r="S45" s="111">
        <f>S43+S44</f>
        <v>1639</v>
      </c>
      <c r="T45" s="111">
        <f>T43+T44</f>
        <v>696</v>
      </c>
      <c r="U45" s="108">
        <f>T45*100/S45</f>
        <v>42.464917632702864</v>
      </c>
      <c r="V45" s="111">
        <f>V43+V44</f>
        <v>0</v>
      </c>
      <c r="W45" s="108">
        <f>V45*100/S45</f>
        <v>0</v>
      </c>
      <c r="X45" s="111">
        <v>309</v>
      </c>
      <c r="Y45" s="111">
        <f t="shared" ref="Y45" si="65">Y43+Y44</f>
        <v>309</v>
      </c>
      <c r="Z45" s="108">
        <f>Y45*100/X45</f>
        <v>100</v>
      </c>
      <c r="AA45" s="111">
        <f>AA43+AA44</f>
        <v>0</v>
      </c>
      <c r="AB45" s="108">
        <f>AA45*100/X45</f>
        <v>0</v>
      </c>
      <c r="AC45" s="111">
        <f t="shared" ref="AC45" si="66">AC43+AC44</f>
        <v>1948</v>
      </c>
      <c r="AD45" s="111">
        <f t="shared" ref="AD45" si="67">AD43+AD44</f>
        <v>1005</v>
      </c>
      <c r="AE45" s="108">
        <f>AD45*100/AC45</f>
        <v>51.591375770020534</v>
      </c>
      <c r="AF45" s="111">
        <f>AF43+AF44</f>
        <v>0</v>
      </c>
      <c r="AG45" s="108">
        <f>AF45*100/AC45</f>
        <v>0</v>
      </c>
      <c r="AH45" s="4"/>
    </row>
    <row r="46" spans="1:35" ht="34.15" customHeight="1" thickBot="1" x14ac:dyDescent="0.35">
      <c r="A46" s="51">
        <v>5</v>
      </c>
      <c r="B46" s="57" t="s">
        <v>95</v>
      </c>
      <c r="C46" s="50" t="s">
        <v>11</v>
      </c>
      <c r="D46" s="24">
        <v>7</v>
      </c>
      <c r="E46" s="25">
        <v>0</v>
      </c>
      <c r="F46" s="26">
        <f t="shared" si="50"/>
        <v>0</v>
      </c>
      <c r="G46" s="25">
        <v>0</v>
      </c>
      <c r="H46" s="27">
        <f t="shared" si="51"/>
        <v>0</v>
      </c>
      <c r="I46" s="24">
        <v>7</v>
      </c>
      <c r="J46" s="25">
        <v>0</v>
      </c>
      <c r="K46" s="28">
        <f t="shared" si="52"/>
        <v>0</v>
      </c>
      <c r="L46" s="29">
        <v>0</v>
      </c>
      <c r="M46" s="30">
        <f t="shared" si="53"/>
        <v>0</v>
      </c>
      <c r="N46" s="31">
        <v>7</v>
      </c>
      <c r="O46" s="29">
        <v>0</v>
      </c>
      <c r="P46" s="28">
        <f t="shared" si="54"/>
        <v>0</v>
      </c>
      <c r="Q46" s="29">
        <v>0</v>
      </c>
      <c r="R46" s="30">
        <f t="shared" si="39"/>
        <v>0</v>
      </c>
      <c r="S46" s="109">
        <f>7+7+7</f>
        <v>21</v>
      </c>
      <c r="T46" s="70"/>
      <c r="U46" s="28">
        <f t="shared" si="64"/>
        <v>0</v>
      </c>
      <c r="V46" s="69"/>
      <c r="W46" s="30">
        <f t="shared" ref="W46:W84" si="68">V46*100/S46</f>
        <v>0</v>
      </c>
      <c r="X46" s="110">
        <v>4</v>
      </c>
      <c r="Y46" s="70"/>
      <c r="Z46" s="28">
        <f t="shared" ref="Z46:Z56" si="69">Y46*100/X46</f>
        <v>0</v>
      </c>
      <c r="AA46" s="70"/>
      <c r="AB46" s="30">
        <f t="shared" ref="AB46:AB56" si="70">AA46*100/X46</f>
        <v>0</v>
      </c>
      <c r="AC46" s="89">
        <f t="shared" ref="AC46:AC57" si="71">X46+S46</f>
        <v>25</v>
      </c>
      <c r="AD46" s="29">
        <f t="shared" ref="AD46:AD57" si="72">Y46+T46</f>
        <v>0</v>
      </c>
      <c r="AE46" s="28">
        <f t="shared" ref="AE46:AE57" si="73">AD46*100/AC46</f>
        <v>0</v>
      </c>
      <c r="AF46" s="58">
        <f t="shared" ref="AF46:AF57" si="74">AA46+V46</f>
        <v>0</v>
      </c>
      <c r="AG46" s="30">
        <f t="shared" ref="AG46:AG57" si="75">AF46*100/AC46</f>
        <v>0</v>
      </c>
      <c r="AH46" s="4"/>
    </row>
    <row r="47" spans="1:35" ht="32.25" thickBot="1" x14ac:dyDescent="0.35">
      <c r="A47" s="51">
        <v>8</v>
      </c>
      <c r="B47" s="57" t="s">
        <v>95</v>
      </c>
      <c r="C47" s="50" t="s">
        <v>14</v>
      </c>
      <c r="D47" s="24">
        <v>4</v>
      </c>
      <c r="E47" s="25">
        <v>0</v>
      </c>
      <c r="F47" s="26">
        <f>E47*100/D47</f>
        <v>0</v>
      </c>
      <c r="G47" s="25">
        <v>0</v>
      </c>
      <c r="H47" s="27">
        <f>G47*100/D47</f>
        <v>0</v>
      </c>
      <c r="I47" s="31">
        <v>3</v>
      </c>
      <c r="J47" s="29">
        <v>0</v>
      </c>
      <c r="K47" s="28">
        <f>J47*100/I47</f>
        <v>0</v>
      </c>
      <c r="L47" s="29">
        <v>0</v>
      </c>
      <c r="M47" s="30">
        <f>L47*100/I47</f>
        <v>0</v>
      </c>
      <c r="N47" s="31">
        <v>3</v>
      </c>
      <c r="O47" s="29">
        <v>0</v>
      </c>
      <c r="P47" s="28">
        <f>O47*100/N47</f>
        <v>0</v>
      </c>
      <c r="Q47" s="29">
        <v>0</v>
      </c>
      <c r="R47" s="30">
        <f>Q47*100/N47</f>
        <v>0</v>
      </c>
      <c r="S47" s="89">
        <f>4+3+3</f>
        <v>10</v>
      </c>
      <c r="T47" s="29"/>
      <c r="U47" s="28">
        <f t="shared" si="64"/>
        <v>0</v>
      </c>
      <c r="V47" s="58"/>
      <c r="W47" s="30">
        <f t="shared" si="68"/>
        <v>0</v>
      </c>
      <c r="X47" s="31">
        <v>4</v>
      </c>
      <c r="Y47" s="29"/>
      <c r="Z47" s="28">
        <f t="shared" si="69"/>
        <v>0</v>
      </c>
      <c r="AA47" s="29"/>
      <c r="AB47" s="30">
        <f t="shared" si="70"/>
        <v>0</v>
      </c>
      <c r="AC47" s="89">
        <f t="shared" si="71"/>
        <v>14</v>
      </c>
      <c r="AD47" s="29">
        <f t="shared" si="72"/>
        <v>0</v>
      </c>
      <c r="AE47" s="28">
        <f t="shared" si="73"/>
        <v>0</v>
      </c>
      <c r="AF47" s="58">
        <f t="shared" si="74"/>
        <v>0</v>
      </c>
      <c r="AG47" s="30">
        <f t="shared" si="75"/>
        <v>0</v>
      </c>
      <c r="AH47" s="4"/>
      <c r="AI47" s="4"/>
    </row>
    <row r="48" spans="1:35" ht="51" customHeight="1" thickBot="1" x14ac:dyDescent="0.35">
      <c r="A48" s="51">
        <v>12</v>
      </c>
      <c r="B48" s="57" t="s">
        <v>95</v>
      </c>
      <c r="C48" s="50" t="s">
        <v>18</v>
      </c>
      <c r="D48" s="24">
        <v>5</v>
      </c>
      <c r="E48" s="25">
        <v>0</v>
      </c>
      <c r="F48" s="26">
        <f>E48*100/D48</f>
        <v>0</v>
      </c>
      <c r="G48" s="25">
        <v>0</v>
      </c>
      <c r="H48" s="27">
        <f>G48*100/D48</f>
        <v>0</v>
      </c>
      <c r="I48" s="31">
        <v>10</v>
      </c>
      <c r="J48" s="29">
        <v>0</v>
      </c>
      <c r="K48" s="28">
        <f>J48*100/I48</f>
        <v>0</v>
      </c>
      <c r="L48" s="29">
        <v>0</v>
      </c>
      <c r="M48" s="30">
        <f>L48*100/I48</f>
        <v>0</v>
      </c>
      <c r="N48" s="31">
        <v>9</v>
      </c>
      <c r="O48" s="29">
        <v>0</v>
      </c>
      <c r="P48" s="28">
        <f>O48*100/N48</f>
        <v>0</v>
      </c>
      <c r="Q48" s="29">
        <v>0</v>
      </c>
      <c r="R48" s="30">
        <f>Q48*100/N48</f>
        <v>0</v>
      </c>
      <c r="S48" s="89">
        <f>5+10+9</f>
        <v>24</v>
      </c>
      <c r="T48" s="29"/>
      <c r="U48" s="28">
        <f t="shared" si="64"/>
        <v>0</v>
      </c>
      <c r="V48" s="58"/>
      <c r="W48" s="30">
        <f t="shared" si="68"/>
        <v>0</v>
      </c>
      <c r="X48" s="31">
        <v>8</v>
      </c>
      <c r="Y48" s="29"/>
      <c r="Z48" s="28">
        <f t="shared" si="69"/>
        <v>0</v>
      </c>
      <c r="AA48" s="29"/>
      <c r="AB48" s="30">
        <f t="shared" si="70"/>
        <v>0</v>
      </c>
      <c r="AC48" s="89">
        <f t="shared" si="71"/>
        <v>32</v>
      </c>
      <c r="AD48" s="29">
        <f t="shared" si="72"/>
        <v>0</v>
      </c>
      <c r="AE48" s="28">
        <f t="shared" si="73"/>
        <v>0</v>
      </c>
      <c r="AF48" s="58">
        <f t="shared" si="74"/>
        <v>0</v>
      </c>
      <c r="AG48" s="30">
        <f t="shared" si="75"/>
        <v>0</v>
      </c>
      <c r="AH48" s="4"/>
      <c r="AI48" s="4"/>
    </row>
    <row r="49" spans="1:35" ht="32.25" thickBot="1" x14ac:dyDescent="0.35">
      <c r="A49" s="51">
        <v>15</v>
      </c>
      <c r="B49" s="57" t="s">
        <v>95</v>
      </c>
      <c r="C49" s="50" t="s">
        <v>21</v>
      </c>
      <c r="D49" s="24">
        <v>0</v>
      </c>
      <c r="E49" s="25">
        <v>0</v>
      </c>
      <c r="F49" s="26"/>
      <c r="G49" s="25">
        <v>0</v>
      </c>
      <c r="H49" s="27"/>
      <c r="I49" s="31">
        <v>0</v>
      </c>
      <c r="J49" s="29">
        <v>0</v>
      </c>
      <c r="K49" s="28"/>
      <c r="L49" s="29">
        <v>0</v>
      </c>
      <c r="M49" s="30"/>
      <c r="N49" s="31">
        <v>2</v>
      </c>
      <c r="O49" s="29">
        <v>0</v>
      </c>
      <c r="P49" s="28">
        <f>O49*100/N49</f>
        <v>0</v>
      </c>
      <c r="Q49" s="29">
        <v>0</v>
      </c>
      <c r="R49" s="30">
        <f>Q49*100/N49</f>
        <v>0</v>
      </c>
      <c r="S49" s="89">
        <f>0+0+2</f>
        <v>2</v>
      </c>
      <c r="T49" s="29"/>
      <c r="U49" s="28">
        <f t="shared" si="64"/>
        <v>0</v>
      </c>
      <c r="V49" s="58"/>
      <c r="W49" s="30">
        <f t="shared" si="68"/>
        <v>0</v>
      </c>
      <c r="X49" s="31"/>
      <c r="Y49" s="29"/>
      <c r="Z49" s="28"/>
      <c r="AA49" s="29"/>
      <c r="AB49" s="30"/>
      <c r="AC49" s="89">
        <f t="shared" si="71"/>
        <v>2</v>
      </c>
      <c r="AD49" s="29">
        <f t="shared" si="72"/>
        <v>0</v>
      </c>
      <c r="AE49" s="28">
        <f t="shared" si="73"/>
        <v>0</v>
      </c>
      <c r="AF49" s="58">
        <f t="shared" si="74"/>
        <v>0</v>
      </c>
      <c r="AG49" s="30">
        <f t="shared" si="75"/>
        <v>0</v>
      </c>
      <c r="AH49" s="4"/>
      <c r="AI49" s="4"/>
    </row>
    <row r="50" spans="1:35" ht="32.25" thickBot="1" x14ac:dyDescent="0.35">
      <c r="A50" s="51">
        <v>23</v>
      </c>
      <c r="B50" s="57" t="s">
        <v>95</v>
      </c>
      <c r="C50" s="50" t="s">
        <v>29</v>
      </c>
      <c r="D50" s="24">
        <v>1</v>
      </c>
      <c r="E50" s="25">
        <v>0</v>
      </c>
      <c r="F50" s="26">
        <f>E50*100/D50</f>
        <v>0</v>
      </c>
      <c r="G50" s="25">
        <v>0</v>
      </c>
      <c r="H50" s="27">
        <f>G50*100/D50</f>
        <v>0</v>
      </c>
      <c r="I50" s="31">
        <v>5</v>
      </c>
      <c r="J50" s="29">
        <v>0</v>
      </c>
      <c r="K50" s="28">
        <f>J50*100/I50</f>
        <v>0</v>
      </c>
      <c r="L50" s="29">
        <v>0</v>
      </c>
      <c r="M50" s="30">
        <f>L50*100/I50</f>
        <v>0</v>
      </c>
      <c r="N50" s="31">
        <v>2</v>
      </c>
      <c r="O50" s="29">
        <v>0</v>
      </c>
      <c r="P50" s="28">
        <f>O50*100/N50</f>
        <v>0</v>
      </c>
      <c r="Q50" s="29">
        <v>0</v>
      </c>
      <c r="R50" s="30">
        <f>Q50*100/N50</f>
        <v>0</v>
      </c>
      <c r="S50" s="89">
        <f>1+5+2</f>
        <v>8</v>
      </c>
      <c r="T50" s="29"/>
      <c r="U50" s="28">
        <f t="shared" si="64"/>
        <v>0</v>
      </c>
      <c r="V50" s="58"/>
      <c r="W50" s="30">
        <f t="shared" si="68"/>
        <v>0</v>
      </c>
      <c r="X50" s="31"/>
      <c r="Y50" s="29"/>
      <c r="Z50" s="28"/>
      <c r="AA50" s="29"/>
      <c r="AB50" s="30"/>
      <c r="AC50" s="89">
        <f t="shared" si="71"/>
        <v>8</v>
      </c>
      <c r="AD50" s="29">
        <f t="shared" si="72"/>
        <v>0</v>
      </c>
      <c r="AE50" s="28">
        <f t="shared" si="73"/>
        <v>0</v>
      </c>
      <c r="AF50" s="58">
        <f t="shared" si="74"/>
        <v>0</v>
      </c>
      <c r="AG50" s="30">
        <f t="shared" si="75"/>
        <v>0</v>
      </c>
      <c r="AH50" s="4"/>
      <c r="AI50" s="4"/>
    </row>
    <row r="51" spans="1:35" ht="67.5" customHeight="1" thickBot="1" x14ac:dyDescent="0.35">
      <c r="A51" s="51">
        <v>34</v>
      </c>
      <c r="B51" s="57" t="s">
        <v>95</v>
      </c>
      <c r="C51" s="50" t="s">
        <v>40</v>
      </c>
      <c r="D51" s="24">
        <v>0</v>
      </c>
      <c r="E51" s="25">
        <v>0</v>
      </c>
      <c r="F51" s="26"/>
      <c r="G51" s="25">
        <v>0</v>
      </c>
      <c r="H51" s="27"/>
      <c r="I51" s="24">
        <v>0</v>
      </c>
      <c r="J51" s="29">
        <v>0</v>
      </c>
      <c r="K51" s="28"/>
      <c r="L51" s="29">
        <v>0</v>
      </c>
      <c r="M51" s="30"/>
      <c r="N51" s="31">
        <v>0</v>
      </c>
      <c r="O51" s="29">
        <v>0</v>
      </c>
      <c r="P51" s="28"/>
      <c r="Q51" s="29">
        <v>0</v>
      </c>
      <c r="R51" s="30"/>
      <c r="S51" s="89"/>
      <c r="T51" s="29"/>
      <c r="U51" s="28"/>
      <c r="V51" s="58"/>
      <c r="W51" s="30"/>
      <c r="X51" s="31"/>
      <c r="Y51" s="29"/>
      <c r="Z51" s="28"/>
      <c r="AA51" s="29"/>
      <c r="AB51" s="30"/>
      <c r="AC51" s="89">
        <f t="shared" si="71"/>
        <v>0</v>
      </c>
      <c r="AD51" s="29">
        <f t="shared" si="72"/>
        <v>0</v>
      </c>
      <c r="AE51" s="28"/>
      <c r="AF51" s="58">
        <f t="shared" si="74"/>
        <v>0</v>
      </c>
      <c r="AG51" s="30"/>
      <c r="AH51" s="4"/>
      <c r="AI51" s="4"/>
    </row>
    <row r="52" spans="1:35" ht="48" thickBot="1" x14ac:dyDescent="0.35">
      <c r="A52" s="221">
        <v>31</v>
      </c>
      <c r="B52" s="57" t="s">
        <v>95</v>
      </c>
      <c r="C52" s="50" t="s">
        <v>37</v>
      </c>
      <c r="D52" s="24">
        <v>0</v>
      </c>
      <c r="E52" s="25">
        <v>0</v>
      </c>
      <c r="F52" s="26"/>
      <c r="G52" s="25">
        <v>0</v>
      </c>
      <c r="H52" s="27"/>
      <c r="I52" s="31">
        <v>0</v>
      </c>
      <c r="J52" s="29">
        <v>0</v>
      </c>
      <c r="K52" s="28"/>
      <c r="L52" s="29">
        <v>0</v>
      </c>
      <c r="M52" s="30"/>
      <c r="N52" s="31">
        <v>0</v>
      </c>
      <c r="O52" s="29">
        <v>0</v>
      </c>
      <c r="P52" s="28"/>
      <c r="Q52" s="29">
        <v>0</v>
      </c>
      <c r="R52" s="30"/>
      <c r="S52" s="89"/>
      <c r="T52" s="29"/>
      <c r="U52" s="28"/>
      <c r="V52" s="58"/>
      <c r="W52" s="30"/>
      <c r="X52" s="31"/>
      <c r="Y52" s="29"/>
      <c r="Z52" s="28"/>
      <c r="AA52" s="29"/>
      <c r="AB52" s="30"/>
      <c r="AC52" s="89">
        <f t="shared" si="71"/>
        <v>0</v>
      </c>
      <c r="AD52" s="29">
        <f t="shared" si="72"/>
        <v>0</v>
      </c>
      <c r="AE52" s="28"/>
      <c r="AF52" s="58">
        <f t="shared" si="74"/>
        <v>0</v>
      </c>
      <c r="AG52" s="30"/>
      <c r="AH52" s="4"/>
      <c r="AI52" s="4"/>
    </row>
    <row r="53" spans="1:35" ht="35.25" customHeight="1" thickBot="1" x14ac:dyDescent="0.35">
      <c r="A53" s="51">
        <v>37</v>
      </c>
      <c r="B53" s="57" t="s">
        <v>95</v>
      </c>
      <c r="C53" s="50" t="s">
        <v>43</v>
      </c>
      <c r="D53" s="24">
        <v>7</v>
      </c>
      <c r="E53" s="25">
        <v>0</v>
      </c>
      <c r="F53" s="26">
        <f>E53*100/D53</f>
        <v>0</v>
      </c>
      <c r="G53" s="25">
        <v>0</v>
      </c>
      <c r="H53" s="27">
        <f>G53*100/D53</f>
        <v>0</v>
      </c>
      <c r="I53" s="24">
        <v>16</v>
      </c>
      <c r="J53" s="29">
        <v>0</v>
      </c>
      <c r="K53" s="28">
        <f>J53*100/I53</f>
        <v>0</v>
      </c>
      <c r="L53" s="29">
        <v>0</v>
      </c>
      <c r="M53" s="30">
        <f>L53*100/I53</f>
        <v>0</v>
      </c>
      <c r="N53" s="31">
        <v>10</v>
      </c>
      <c r="O53" s="29">
        <v>0</v>
      </c>
      <c r="P53" s="28">
        <f>O53*100/N53</f>
        <v>0</v>
      </c>
      <c r="Q53" s="29">
        <v>0</v>
      </c>
      <c r="R53" s="30">
        <f>Q53*100/N53</f>
        <v>0</v>
      </c>
      <c r="S53" s="89">
        <f>7+16+10</f>
        <v>33</v>
      </c>
      <c r="T53" s="29"/>
      <c r="U53" s="28">
        <f t="shared" si="64"/>
        <v>0</v>
      </c>
      <c r="V53" s="58"/>
      <c r="W53" s="30">
        <f t="shared" si="68"/>
        <v>0</v>
      </c>
      <c r="X53" s="31">
        <v>14</v>
      </c>
      <c r="Y53" s="29"/>
      <c r="Z53" s="28">
        <f t="shared" si="69"/>
        <v>0</v>
      </c>
      <c r="AA53" s="29"/>
      <c r="AB53" s="30">
        <f t="shared" si="70"/>
        <v>0</v>
      </c>
      <c r="AC53" s="89">
        <f t="shared" si="71"/>
        <v>47</v>
      </c>
      <c r="AD53" s="29">
        <f t="shared" si="72"/>
        <v>0</v>
      </c>
      <c r="AE53" s="28">
        <f t="shared" si="73"/>
        <v>0</v>
      </c>
      <c r="AF53" s="58">
        <f t="shared" si="74"/>
        <v>0</v>
      </c>
      <c r="AG53" s="30">
        <f t="shared" si="75"/>
        <v>0</v>
      </c>
      <c r="AH53" s="4"/>
      <c r="AI53" s="4"/>
    </row>
    <row r="54" spans="1:35" ht="32.25" thickBot="1" x14ac:dyDescent="0.35">
      <c r="A54" s="51">
        <v>38</v>
      </c>
      <c r="B54" s="57" t="s">
        <v>95</v>
      </c>
      <c r="C54" s="50" t="s">
        <v>44</v>
      </c>
      <c r="D54" s="24">
        <v>2</v>
      </c>
      <c r="E54" s="25">
        <v>0</v>
      </c>
      <c r="F54" s="26">
        <f>E54*100/D54</f>
        <v>0</v>
      </c>
      <c r="G54" s="25">
        <v>0</v>
      </c>
      <c r="H54" s="27">
        <f>G54*100/D54</f>
        <v>0</v>
      </c>
      <c r="I54" s="24">
        <v>4</v>
      </c>
      <c r="J54" s="29">
        <v>0</v>
      </c>
      <c r="K54" s="28">
        <f>J54*100/I54</f>
        <v>0</v>
      </c>
      <c r="L54" s="29">
        <v>0</v>
      </c>
      <c r="M54" s="30">
        <f>L54*100/I54</f>
        <v>0</v>
      </c>
      <c r="N54" s="31">
        <v>2</v>
      </c>
      <c r="O54" s="29">
        <v>0</v>
      </c>
      <c r="P54" s="28">
        <f>O54*100/N54</f>
        <v>0</v>
      </c>
      <c r="Q54" s="29">
        <v>0</v>
      </c>
      <c r="R54" s="30">
        <f>Q54*100/N54</f>
        <v>0</v>
      </c>
      <c r="S54" s="89">
        <f>2+4+2</f>
        <v>8</v>
      </c>
      <c r="T54" s="29"/>
      <c r="U54" s="28">
        <f t="shared" si="64"/>
        <v>0</v>
      </c>
      <c r="V54" s="58"/>
      <c r="W54" s="30">
        <f t="shared" si="68"/>
        <v>0</v>
      </c>
      <c r="X54" s="31">
        <v>3</v>
      </c>
      <c r="Y54" s="29"/>
      <c r="Z54" s="28">
        <f t="shared" si="69"/>
        <v>0</v>
      </c>
      <c r="AA54" s="29"/>
      <c r="AB54" s="30">
        <f t="shared" si="70"/>
        <v>0</v>
      </c>
      <c r="AC54" s="89">
        <f t="shared" si="71"/>
        <v>11</v>
      </c>
      <c r="AD54" s="29">
        <f t="shared" si="72"/>
        <v>0</v>
      </c>
      <c r="AE54" s="28">
        <f t="shared" si="73"/>
        <v>0</v>
      </c>
      <c r="AF54" s="58">
        <f t="shared" si="74"/>
        <v>0</v>
      </c>
      <c r="AG54" s="30">
        <f t="shared" si="75"/>
        <v>0</v>
      </c>
      <c r="AH54" s="4"/>
      <c r="AI54" s="4"/>
    </row>
    <row r="55" spans="1:35" ht="48" thickBot="1" x14ac:dyDescent="0.35">
      <c r="A55" s="51">
        <v>43</v>
      </c>
      <c r="B55" s="57" t="s">
        <v>95</v>
      </c>
      <c r="C55" s="50" t="s">
        <v>49</v>
      </c>
      <c r="D55" s="24">
        <v>0</v>
      </c>
      <c r="E55" s="25">
        <v>0</v>
      </c>
      <c r="F55" s="26"/>
      <c r="G55" s="25">
        <v>0</v>
      </c>
      <c r="H55" s="30"/>
      <c r="I55" s="31">
        <v>0</v>
      </c>
      <c r="J55" s="29">
        <v>0</v>
      </c>
      <c r="K55" s="28"/>
      <c r="L55" s="29">
        <v>0</v>
      </c>
      <c r="M55" s="30"/>
      <c r="N55" s="31">
        <v>0</v>
      </c>
      <c r="O55" s="29">
        <v>0</v>
      </c>
      <c r="P55" s="28"/>
      <c r="Q55" s="29">
        <v>0</v>
      </c>
      <c r="R55" s="30"/>
      <c r="S55" s="89"/>
      <c r="T55" s="29"/>
      <c r="U55" s="28"/>
      <c r="V55" s="58"/>
      <c r="W55" s="30"/>
      <c r="X55" s="31"/>
      <c r="Y55" s="29"/>
      <c r="Z55" s="28"/>
      <c r="AA55" s="29"/>
      <c r="AB55" s="30"/>
      <c r="AC55" s="89">
        <f t="shared" si="71"/>
        <v>0</v>
      </c>
      <c r="AD55" s="29">
        <f t="shared" si="72"/>
        <v>0</v>
      </c>
      <c r="AE55" s="28"/>
      <c r="AF55" s="58">
        <f t="shared" si="74"/>
        <v>0</v>
      </c>
      <c r="AG55" s="30"/>
      <c r="AH55" s="4"/>
      <c r="AI55" s="4"/>
    </row>
    <row r="56" spans="1:35" ht="48" thickBot="1" x14ac:dyDescent="0.35">
      <c r="A56" s="51">
        <v>45</v>
      </c>
      <c r="B56" s="57" t="s">
        <v>95</v>
      </c>
      <c r="C56" s="50" t="s">
        <v>51</v>
      </c>
      <c r="D56" s="24">
        <v>5</v>
      </c>
      <c r="E56" s="25">
        <v>0</v>
      </c>
      <c r="F56" s="26">
        <f>E56*100/D56</f>
        <v>0</v>
      </c>
      <c r="G56" s="25">
        <v>0</v>
      </c>
      <c r="H56" s="30">
        <f>G56*100/D56</f>
        <v>0</v>
      </c>
      <c r="I56" s="31">
        <v>10</v>
      </c>
      <c r="J56" s="29">
        <v>0</v>
      </c>
      <c r="K56" s="28">
        <f>J56*100/I56</f>
        <v>0</v>
      </c>
      <c r="L56" s="29">
        <v>0</v>
      </c>
      <c r="M56" s="30">
        <f>L56*100/I56</f>
        <v>0</v>
      </c>
      <c r="N56" s="31">
        <v>8</v>
      </c>
      <c r="O56" s="29">
        <v>0</v>
      </c>
      <c r="P56" s="28">
        <f>O56*100/N56</f>
        <v>0</v>
      </c>
      <c r="Q56" s="29">
        <v>0</v>
      </c>
      <c r="R56" s="30">
        <f>Q56*100/N56</f>
        <v>0</v>
      </c>
      <c r="S56" s="89">
        <f>5+10+8</f>
        <v>23</v>
      </c>
      <c r="T56" s="29"/>
      <c r="U56" s="28">
        <f t="shared" si="64"/>
        <v>0</v>
      </c>
      <c r="V56" s="58"/>
      <c r="W56" s="30">
        <f t="shared" si="68"/>
        <v>0</v>
      </c>
      <c r="X56" s="31">
        <v>7</v>
      </c>
      <c r="Y56" s="29"/>
      <c r="Z56" s="28">
        <f t="shared" si="69"/>
        <v>0</v>
      </c>
      <c r="AA56" s="29"/>
      <c r="AB56" s="30">
        <f t="shared" si="70"/>
        <v>0</v>
      </c>
      <c r="AC56" s="89">
        <f t="shared" si="71"/>
        <v>30</v>
      </c>
      <c r="AD56" s="29">
        <f t="shared" si="72"/>
        <v>0</v>
      </c>
      <c r="AE56" s="28">
        <f t="shared" si="73"/>
        <v>0</v>
      </c>
      <c r="AF56" s="58">
        <f t="shared" si="74"/>
        <v>0</v>
      </c>
      <c r="AG56" s="30">
        <f t="shared" si="75"/>
        <v>0</v>
      </c>
      <c r="AH56" s="4"/>
      <c r="AI56" s="4"/>
    </row>
    <row r="57" spans="1:35" ht="46.5" customHeight="1" thickBot="1" x14ac:dyDescent="0.35">
      <c r="A57" s="51">
        <v>46</v>
      </c>
      <c r="B57" s="57" t="s">
        <v>95</v>
      </c>
      <c r="C57" s="50" t="s">
        <v>52</v>
      </c>
      <c r="D57" s="24">
        <v>5</v>
      </c>
      <c r="E57" s="25">
        <v>0</v>
      </c>
      <c r="F57" s="26">
        <f>E57*100/D57</f>
        <v>0</v>
      </c>
      <c r="G57" s="25">
        <v>0</v>
      </c>
      <c r="H57" s="30">
        <f>G57*100/D57</f>
        <v>0</v>
      </c>
      <c r="I57" s="31">
        <v>0</v>
      </c>
      <c r="J57" s="29">
        <v>0</v>
      </c>
      <c r="K57" s="28"/>
      <c r="L57" s="29">
        <v>0</v>
      </c>
      <c r="M57" s="30"/>
      <c r="N57" s="31">
        <v>9</v>
      </c>
      <c r="O57" s="29">
        <v>0</v>
      </c>
      <c r="P57" s="28">
        <f>O57*100/N57</f>
        <v>0</v>
      </c>
      <c r="Q57" s="29">
        <v>0</v>
      </c>
      <c r="R57" s="30">
        <f>Q57*100/N57</f>
        <v>0</v>
      </c>
      <c r="S57" s="96">
        <f>5+0+9</f>
        <v>14</v>
      </c>
      <c r="T57" s="64"/>
      <c r="U57" s="28">
        <f t="shared" si="64"/>
        <v>0</v>
      </c>
      <c r="V57" s="97"/>
      <c r="W57" s="30">
        <f t="shared" si="68"/>
        <v>0</v>
      </c>
      <c r="X57" s="63"/>
      <c r="Y57" s="64"/>
      <c r="Z57" s="28"/>
      <c r="AA57" s="64"/>
      <c r="AB57" s="30"/>
      <c r="AC57" s="89">
        <f t="shared" si="71"/>
        <v>14</v>
      </c>
      <c r="AD57" s="29">
        <f t="shared" si="72"/>
        <v>0</v>
      </c>
      <c r="AE57" s="28">
        <f t="shared" si="73"/>
        <v>0</v>
      </c>
      <c r="AF57" s="58">
        <f t="shared" si="74"/>
        <v>0</v>
      </c>
      <c r="AG57" s="30">
        <f t="shared" si="75"/>
        <v>0</v>
      </c>
      <c r="AH57" s="4"/>
      <c r="AI57" s="4"/>
    </row>
    <row r="58" spans="1:35" ht="26.25" customHeight="1" thickBot="1" x14ac:dyDescent="0.35">
      <c r="A58" s="51"/>
      <c r="B58" s="57"/>
      <c r="C58" s="78" t="s">
        <v>124</v>
      </c>
      <c r="D58" s="24"/>
      <c r="E58" s="25"/>
      <c r="F58" s="26"/>
      <c r="G58" s="25"/>
      <c r="H58" s="30"/>
      <c r="I58" s="31"/>
      <c r="J58" s="29"/>
      <c r="K58" s="28"/>
      <c r="L58" s="29"/>
      <c r="M58" s="30"/>
      <c r="N58" s="31"/>
      <c r="O58" s="29"/>
      <c r="P58" s="28"/>
      <c r="Q58" s="29"/>
      <c r="R58" s="30"/>
      <c r="S58" s="111">
        <f>SUM(S46:S57)</f>
        <v>143</v>
      </c>
      <c r="T58" s="111">
        <f>SUM(T46:T57)</f>
        <v>0</v>
      </c>
      <c r="U58" s="108">
        <f>T58*100/S58</f>
        <v>0</v>
      </c>
      <c r="V58" s="111">
        <f>SUM(V46:V57)</f>
        <v>0</v>
      </c>
      <c r="W58" s="108">
        <f>V58*100/S58</f>
        <v>0</v>
      </c>
      <c r="X58" s="111">
        <f t="shared" ref="X58:Y58" si="76">SUM(X46:X57)</f>
        <v>40</v>
      </c>
      <c r="Y58" s="111">
        <f t="shared" si="76"/>
        <v>0</v>
      </c>
      <c r="Z58" s="108">
        <f>Y58*100/X58</f>
        <v>0</v>
      </c>
      <c r="AA58" s="111">
        <f>SUM(AA46:AA57)</f>
        <v>0</v>
      </c>
      <c r="AB58" s="108">
        <f>AA58*100/X58</f>
        <v>0</v>
      </c>
      <c r="AC58" s="111">
        <f t="shared" ref="AC58" si="77">SUM(AC46:AC57)</f>
        <v>183</v>
      </c>
      <c r="AD58" s="111">
        <f t="shared" ref="AD58" si="78">SUM(AD46:AD57)</f>
        <v>0</v>
      </c>
      <c r="AE58" s="108">
        <f>AD58*100/AC58</f>
        <v>0</v>
      </c>
      <c r="AF58" s="111">
        <f>SUM(AF46:AF57)</f>
        <v>0</v>
      </c>
      <c r="AG58" s="108">
        <f>AF58*100/AC58</f>
        <v>0</v>
      </c>
      <c r="AH58" s="4"/>
      <c r="AI58" s="4"/>
    </row>
    <row r="59" spans="1:35" ht="36" customHeight="1" thickBot="1" x14ac:dyDescent="0.35">
      <c r="A59" s="10">
        <v>7</v>
      </c>
      <c r="B59" s="198" t="s">
        <v>96</v>
      </c>
      <c r="C59" s="11" t="s">
        <v>13</v>
      </c>
      <c r="D59" s="20">
        <v>694</v>
      </c>
      <c r="E59" s="21">
        <v>287</v>
      </c>
      <c r="F59" s="22">
        <f t="shared" si="50"/>
        <v>41.354466858789628</v>
      </c>
      <c r="G59" s="21">
        <v>1</v>
      </c>
      <c r="H59" s="23">
        <f t="shared" si="51"/>
        <v>0.14409221902017291</v>
      </c>
      <c r="I59" s="20">
        <v>849</v>
      </c>
      <c r="J59" s="21">
        <v>398</v>
      </c>
      <c r="K59" s="22">
        <f t="shared" si="52"/>
        <v>46.878680800942284</v>
      </c>
      <c r="L59" s="21">
        <v>2</v>
      </c>
      <c r="M59" s="23">
        <f t="shared" si="53"/>
        <v>0.23557126030624265</v>
      </c>
      <c r="N59" s="20">
        <v>720</v>
      </c>
      <c r="O59" s="21">
        <v>368</v>
      </c>
      <c r="P59" s="22">
        <f t="shared" si="54"/>
        <v>51.111111111111114</v>
      </c>
      <c r="Q59" s="21">
        <v>0</v>
      </c>
      <c r="R59" s="23">
        <f t="shared" si="39"/>
        <v>0</v>
      </c>
      <c r="S59" s="103">
        <f>694+849+720</f>
        <v>2263</v>
      </c>
      <c r="T59" s="100">
        <f>287+398+368</f>
        <v>1053</v>
      </c>
      <c r="U59" s="22">
        <f t="shared" si="64"/>
        <v>46.531153336279274</v>
      </c>
      <c r="V59" s="104">
        <v>1</v>
      </c>
      <c r="W59" s="23">
        <f t="shared" si="68"/>
        <v>4.4189129474149359E-2</v>
      </c>
      <c r="X59" s="99">
        <v>788</v>
      </c>
      <c r="Y59" s="100">
        <v>474</v>
      </c>
      <c r="Z59" s="22">
        <f t="shared" ref="Z59:Z60" si="79">Y59*100/X59</f>
        <v>60.152284263959388</v>
      </c>
      <c r="AA59" s="100">
        <v>1</v>
      </c>
      <c r="AB59" s="23">
        <f t="shared" ref="AB59:AB60" si="80">AA59*100/X59</f>
        <v>0.12690355329949238</v>
      </c>
      <c r="AC59" s="90">
        <f t="shared" ref="AC59:AC60" si="81">X59+S59</f>
        <v>3051</v>
      </c>
      <c r="AD59" s="21">
        <f t="shared" ref="AD59:AD60" si="82">Y59+T59</f>
        <v>1527</v>
      </c>
      <c r="AE59" s="22">
        <f t="shared" ref="AE59:AE60" si="83">AD59*100/AC59</f>
        <v>50.049164208456247</v>
      </c>
      <c r="AF59" s="92">
        <f t="shared" ref="AF59:AF60" si="84">AA59+V59</f>
        <v>2</v>
      </c>
      <c r="AG59" s="23">
        <f t="shared" ref="AG59:AG60" si="85">AF59*100/AC59</f>
        <v>6.5552277941658479E-2</v>
      </c>
    </row>
    <row r="60" spans="1:35" ht="50.25" customHeight="1" thickBot="1" x14ac:dyDescent="0.35">
      <c r="A60" s="10">
        <v>49</v>
      </c>
      <c r="B60" s="198" t="s">
        <v>96</v>
      </c>
      <c r="C60" s="11" t="s">
        <v>55</v>
      </c>
      <c r="D60" s="20">
        <v>641</v>
      </c>
      <c r="E60" s="21">
        <v>69</v>
      </c>
      <c r="F60" s="22">
        <f>E60*100/D60</f>
        <v>10.76443057722309</v>
      </c>
      <c r="G60" s="21">
        <v>2</v>
      </c>
      <c r="H60" s="23">
        <f>G60*100/D60</f>
        <v>0.31201248049921998</v>
      </c>
      <c r="I60" s="20">
        <v>440</v>
      </c>
      <c r="J60" s="21">
        <v>140</v>
      </c>
      <c r="K60" s="22">
        <f>J60*100/I60</f>
        <v>31.818181818181817</v>
      </c>
      <c r="L60" s="21">
        <v>1</v>
      </c>
      <c r="M60" s="23">
        <f>L60*100/I60</f>
        <v>0.22727272727272727</v>
      </c>
      <c r="N60" s="20">
        <v>501</v>
      </c>
      <c r="O60" s="21">
        <v>116</v>
      </c>
      <c r="P60" s="22">
        <f>O60*100/N60</f>
        <v>23.15369261477046</v>
      </c>
      <c r="Q60" s="21">
        <v>0</v>
      </c>
      <c r="R60" s="23">
        <f>Q60*100/N60</f>
        <v>0</v>
      </c>
      <c r="S60" s="123">
        <f>641+440+501</f>
        <v>1582</v>
      </c>
      <c r="T60" s="124">
        <f>69+140+116</f>
        <v>325</v>
      </c>
      <c r="U60" s="22">
        <f t="shared" si="64"/>
        <v>20.543615676359039</v>
      </c>
      <c r="V60" s="126">
        <v>2</v>
      </c>
      <c r="W60" s="23">
        <f t="shared" si="68"/>
        <v>0.12642225031605561</v>
      </c>
      <c r="X60" s="128">
        <v>659</v>
      </c>
      <c r="Y60" s="124">
        <v>164</v>
      </c>
      <c r="Z60" s="22">
        <f t="shared" si="79"/>
        <v>24.88619119878604</v>
      </c>
      <c r="AA60" s="124"/>
      <c r="AB60" s="23">
        <f t="shared" si="80"/>
        <v>0</v>
      </c>
      <c r="AC60" s="90">
        <f t="shared" si="81"/>
        <v>2241</v>
      </c>
      <c r="AD60" s="21">
        <f t="shared" si="82"/>
        <v>489</v>
      </c>
      <c r="AE60" s="22">
        <f t="shared" si="83"/>
        <v>21.820615796519412</v>
      </c>
      <c r="AF60" s="92">
        <f t="shared" si="84"/>
        <v>2</v>
      </c>
      <c r="AG60" s="23">
        <f t="shared" si="85"/>
        <v>8.9245872378402494E-2</v>
      </c>
    </row>
    <row r="61" spans="1:35" s="4" customFormat="1" ht="22.5" customHeight="1" thickBot="1" x14ac:dyDescent="0.35">
      <c r="A61" s="57"/>
      <c r="B61" s="57"/>
      <c r="C61" s="78" t="s">
        <v>125</v>
      </c>
      <c r="D61" s="31"/>
      <c r="E61" s="29"/>
      <c r="F61" s="28"/>
      <c r="G61" s="29"/>
      <c r="H61" s="30"/>
      <c r="I61" s="31"/>
      <c r="J61" s="29"/>
      <c r="K61" s="28"/>
      <c r="L61" s="29"/>
      <c r="M61" s="30"/>
      <c r="N61" s="31"/>
      <c r="O61" s="29"/>
      <c r="P61" s="28"/>
      <c r="Q61" s="29"/>
      <c r="R61" s="30"/>
      <c r="S61" s="111">
        <f>S60+S59</f>
        <v>3845</v>
      </c>
      <c r="T61" s="111">
        <f>T60+T59</f>
        <v>1378</v>
      </c>
      <c r="U61" s="108">
        <f>T61*100/(S60+S59)</f>
        <v>35.838751625487646</v>
      </c>
      <c r="V61" s="111">
        <f>V60+V59</f>
        <v>3</v>
      </c>
      <c r="W61" s="108">
        <f>V61*100/S61</f>
        <v>7.8023407022106639E-2</v>
      </c>
      <c r="X61" s="111">
        <f t="shared" ref="X61:Y61" si="86">X60+X59</f>
        <v>1447</v>
      </c>
      <c r="Y61" s="111">
        <f t="shared" si="86"/>
        <v>638</v>
      </c>
      <c r="Z61" s="108">
        <f>Y61*100/(X60+X59)</f>
        <v>44.091223220456115</v>
      </c>
      <c r="AA61" s="111">
        <f>AA60+AA59</f>
        <v>1</v>
      </c>
      <c r="AB61" s="108">
        <f>AA61*100/X61</f>
        <v>6.9108500345542501E-2</v>
      </c>
      <c r="AC61" s="111">
        <f t="shared" ref="AC61" si="87">AC60+AC59</f>
        <v>5292</v>
      </c>
      <c r="AD61" s="111">
        <f t="shared" ref="AD61" si="88">AD60+AD59</f>
        <v>2016</v>
      </c>
      <c r="AE61" s="108">
        <f>AD61*100/(AC60+AC59)</f>
        <v>38.095238095238095</v>
      </c>
      <c r="AF61" s="111">
        <f>AF60+AF59</f>
        <v>4</v>
      </c>
      <c r="AG61" s="108">
        <f>AF61*100/AC61</f>
        <v>7.5585789871504161E-2</v>
      </c>
    </row>
    <row r="62" spans="1:35" ht="32.25" thickBot="1" x14ac:dyDescent="0.35">
      <c r="A62" s="51">
        <v>9</v>
      </c>
      <c r="B62" s="57" t="s">
        <v>94</v>
      </c>
      <c r="C62" s="50" t="s">
        <v>15</v>
      </c>
      <c r="D62" s="24">
        <v>8</v>
      </c>
      <c r="E62" s="25">
        <v>0</v>
      </c>
      <c r="F62" s="26">
        <f t="shared" si="50"/>
        <v>0</v>
      </c>
      <c r="G62" s="25">
        <v>0</v>
      </c>
      <c r="H62" s="27">
        <f t="shared" si="51"/>
        <v>0</v>
      </c>
      <c r="I62" s="31">
        <v>1</v>
      </c>
      <c r="J62" s="29">
        <v>0</v>
      </c>
      <c r="K62" s="28">
        <f t="shared" si="52"/>
        <v>0</v>
      </c>
      <c r="L62" s="29">
        <v>0</v>
      </c>
      <c r="M62" s="30">
        <f t="shared" si="53"/>
        <v>0</v>
      </c>
      <c r="N62" s="31">
        <v>13</v>
      </c>
      <c r="O62" s="29">
        <v>0</v>
      </c>
      <c r="P62" s="28">
        <f t="shared" si="54"/>
        <v>0</v>
      </c>
      <c r="Q62" s="29">
        <v>0</v>
      </c>
      <c r="R62" s="30">
        <f t="shared" si="39"/>
        <v>0</v>
      </c>
      <c r="S62" s="109">
        <f>8+1+13</f>
        <v>22</v>
      </c>
      <c r="T62" s="70"/>
      <c r="U62" s="28">
        <f t="shared" si="64"/>
        <v>0</v>
      </c>
      <c r="V62" s="69"/>
      <c r="W62" s="30">
        <f t="shared" si="68"/>
        <v>0</v>
      </c>
      <c r="X62" s="110">
        <v>30</v>
      </c>
      <c r="Y62" s="70"/>
      <c r="Z62" s="28">
        <f t="shared" ref="Z62:Z66" si="89">Y62*100/X62</f>
        <v>0</v>
      </c>
      <c r="AA62" s="70"/>
      <c r="AB62" s="30">
        <f t="shared" ref="AB62:AB66" si="90">AA62*100/X62</f>
        <v>0</v>
      </c>
      <c r="AC62" s="89">
        <f t="shared" ref="AC62:AC66" si="91">X62+S62</f>
        <v>52</v>
      </c>
      <c r="AD62" s="29">
        <f t="shared" ref="AD62:AD66" si="92">Y62+T62</f>
        <v>0</v>
      </c>
      <c r="AE62" s="28">
        <f t="shared" ref="AE62:AE66" si="93">AD62*100/AC62</f>
        <v>0</v>
      </c>
      <c r="AF62" s="58">
        <f t="shared" ref="AF62:AF66" si="94">AA62+V62</f>
        <v>0</v>
      </c>
      <c r="AG62" s="30">
        <f t="shared" ref="AG62:AG66" si="95">AF62*100/AC62</f>
        <v>0</v>
      </c>
      <c r="AH62" s="4"/>
      <c r="AI62" s="4"/>
    </row>
    <row r="63" spans="1:35" ht="114" customHeight="1" thickBot="1" x14ac:dyDescent="0.35">
      <c r="A63" s="51">
        <v>10</v>
      </c>
      <c r="B63" s="57" t="s">
        <v>94</v>
      </c>
      <c r="C63" s="50" t="s">
        <v>16</v>
      </c>
      <c r="D63" s="24">
        <v>8</v>
      </c>
      <c r="E63" s="25">
        <v>0</v>
      </c>
      <c r="F63" s="26">
        <f t="shared" si="50"/>
        <v>0</v>
      </c>
      <c r="G63" s="25">
        <v>0</v>
      </c>
      <c r="H63" s="27">
        <f t="shared" si="51"/>
        <v>0</v>
      </c>
      <c r="I63" s="31">
        <v>0</v>
      </c>
      <c r="J63" s="29">
        <v>0</v>
      </c>
      <c r="K63" s="28"/>
      <c r="L63" s="29">
        <v>0</v>
      </c>
      <c r="M63" s="30"/>
      <c r="N63" s="31">
        <v>0</v>
      </c>
      <c r="O63" s="29">
        <v>0</v>
      </c>
      <c r="P63" s="28"/>
      <c r="Q63" s="29">
        <v>0</v>
      </c>
      <c r="R63" s="30"/>
      <c r="S63" s="89">
        <f>8+0+0</f>
        <v>8</v>
      </c>
      <c r="T63" s="29"/>
      <c r="U63" s="28">
        <f t="shared" si="64"/>
        <v>0</v>
      </c>
      <c r="V63" s="58"/>
      <c r="W63" s="30">
        <f t="shared" si="68"/>
        <v>0</v>
      </c>
      <c r="X63" s="31">
        <v>8</v>
      </c>
      <c r="Y63" s="29"/>
      <c r="Z63" s="28"/>
      <c r="AA63" s="29"/>
      <c r="AB63" s="30"/>
      <c r="AC63" s="89">
        <f t="shared" si="91"/>
        <v>16</v>
      </c>
      <c r="AD63" s="29">
        <f t="shared" si="92"/>
        <v>0</v>
      </c>
      <c r="AE63" s="28">
        <f t="shared" si="93"/>
        <v>0</v>
      </c>
      <c r="AF63" s="58">
        <f t="shared" si="94"/>
        <v>0</v>
      </c>
      <c r="AG63" s="30">
        <f t="shared" si="95"/>
        <v>0</v>
      </c>
      <c r="AH63" s="4"/>
      <c r="AI63" s="4"/>
    </row>
    <row r="64" spans="1:35" ht="48" thickBot="1" x14ac:dyDescent="0.35">
      <c r="A64" s="51">
        <v>14</v>
      </c>
      <c r="B64" s="57" t="s">
        <v>94</v>
      </c>
      <c r="C64" s="50" t="s">
        <v>20</v>
      </c>
      <c r="D64" s="24">
        <v>2</v>
      </c>
      <c r="E64" s="25">
        <v>0</v>
      </c>
      <c r="F64" s="26">
        <f t="shared" si="50"/>
        <v>0</v>
      </c>
      <c r="G64" s="25">
        <v>0</v>
      </c>
      <c r="H64" s="27">
        <f t="shared" si="51"/>
        <v>0</v>
      </c>
      <c r="I64" s="31">
        <v>0</v>
      </c>
      <c r="J64" s="29">
        <v>0</v>
      </c>
      <c r="K64" s="28"/>
      <c r="L64" s="29">
        <v>0</v>
      </c>
      <c r="M64" s="30"/>
      <c r="N64" s="31">
        <v>0</v>
      </c>
      <c r="O64" s="29">
        <v>0</v>
      </c>
      <c r="P64" s="28"/>
      <c r="Q64" s="29">
        <v>0</v>
      </c>
      <c r="R64" s="30"/>
      <c r="S64" s="89">
        <f>2+0</f>
        <v>2</v>
      </c>
      <c r="T64" s="29"/>
      <c r="U64" s="28">
        <f t="shared" si="64"/>
        <v>0</v>
      </c>
      <c r="V64" s="58"/>
      <c r="W64" s="30">
        <f t="shared" si="68"/>
        <v>0</v>
      </c>
      <c r="X64" s="31">
        <v>3</v>
      </c>
      <c r="Y64" s="29"/>
      <c r="Z64" s="28"/>
      <c r="AA64" s="29"/>
      <c r="AB64" s="30"/>
      <c r="AC64" s="89">
        <f t="shared" si="91"/>
        <v>5</v>
      </c>
      <c r="AD64" s="29">
        <f t="shared" si="92"/>
        <v>0</v>
      </c>
      <c r="AE64" s="28">
        <f t="shared" si="93"/>
        <v>0</v>
      </c>
      <c r="AF64" s="58">
        <f t="shared" si="94"/>
        <v>0</v>
      </c>
      <c r="AG64" s="30">
        <f t="shared" si="95"/>
        <v>0</v>
      </c>
      <c r="AH64" s="4"/>
      <c r="AI64" s="4"/>
    </row>
    <row r="65" spans="1:35" ht="32.25" thickBot="1" x14ac:dyDescent="0.35">
      <c r="A65" s="51">
        <v>58</v>
      </c>
      <c r="B65" s="57" t="s">
        <v>94</v>
      </c>
      <c r="C65" s="50" t="s">
        <v>64</v>
      </c>
      <c r="D65" s="24">
        <v>0</v>
      </c>
      <c r="E65" s="25">
        <v>0</v>
      </c>
      <c r="F65" s="26"/>
      <c r="G65" s="25">
        <v>0</v>
      </c>
      <c r="H65" s="27"/>
      <c r="I65" s="24">
        <v>0</v>
      </c>
      <c r="J65" s="29">
        <v>0</v>
      </c>
      <c r="K65" s="28"/>
      <c r="L65" s="29">
        <v>0</v>
      </c>
      <c r="M65" s="30"/>
      <c r="N65" s="31">
        <v>13</v>
      </c>
      <c r="O65" s="29">
        <v>0</v>
      </c>
      <c r="P65" s="28">
        <f>O65*100/N65</f>
        <v>0</v>
      </c>
      <c r="Q65" s="29">
        <v>0</v>
      </c>
      <c r="R65" s="30">
        <f>Q65*100/N65</f>
        <v>0</v>
      </c>
      <c r="S65" s="89">
        <f>0+0+13</f>
        <v>13</v>
      </c>
      <c r="T65" s="29"/>
      <c r="U65" s="28">
        <f t="shared" si="64"/>
        <v>0</v>
      </c>
      <c r="V65" s="58"/>
      <c r="W65" s="30">
        <f t="shared" si="68"/>
        <v>0</v>
      </c>
      <c r="X65" s="31">
        <v>15</v>
      </c>
      <c r="Y65" s="29"/>
      <c r="Z65" s="28"/>
      <c r="AA65" s="29"/>
      <c r="AB65" s="30"/>
      <c r="AC65" s="89">
        <f t="shared" si="91"/>
        <v>28</v>
      </c>
      <c r="AD65" s="29">
        <f t="shared" si="92"/>
        <v>0</v>
      </c>
      <c r="AE65" s="28">
        <f t="shared" si="93"/>
        <v>0</v>
      </c>
      <c r="AF65" s="58">
        <f t="shared" si="94"/>
        <v>0</v>
      </c>
      <c r="AG65" s="30">
        <f t="shared" si="95"/>
        <v>0</v>
      </c>
      <c r="AH65" s="4"/>
    </row>
    <row r="66" spans="1:35" ht="32.25" thickBot="1" x14ac:dyDescent="0.35">
      <c r="A66" s="51">
        <v>4</v>
      </c>
      <c r="B66" s="57" t="s">
        <v>94</v>
      </c>
      <c r="C66" s="50" t="s">
        <v>10</v>
      </c>
      <c r="D66" s="24">
        <v>23</v>
      </c>
      <c r="E66" s="25">
        <v>0</v>
      </c>
      <c r="F66" s="26">
        <f t="shared" ref="F66" si="96">E66*100/D66</f>
        <v>0</v>
      </c>
      <c r="G66" s="25">
        <v>0</v>
      </c>
      <c r="H66" s="27">
        <f t="shared" ref="H66" si="97">G66*100/D66</f>
        <v>0</v>
      </c>
      <c r="I66" s="24">
        <v>22</v>
      </c>
      <c r="J66" s="25">
        <v>0</v>
      </c>
      <c r="K66" s="28">
        <f t="shared" ref="K66" si="98">J66*100/I66</f>
        <v>0</v>
      </c>
      <c r="L66" s="29">
        <v>0</v>
      </c>
      <c r="M66" s="30">
        <f t="shared" ref="M66" si="99">L66*100/I66</f>
        <v>0</v>
      </c>
      <c r="N66" s="31">
        <v>22</v>
      </c>
      <c r="O66" s="29">
        <v>0</v>
      </c>
      <c r="P66" s="28">
        <f t="shared" ref="P66" si="100">O66*100/N66</f>
        <v>0</v>
      </c>
      <c r="Q66" s="29">
        <v>0</v>
      </c>
      <c r="R66" s="30">
        <f t="shared" ref="R66" si="101">Q66*100/N66</f>
        <v>0</v>
      </c>
      <c r="S66" s="96">
        <f>23+22+22</f>
        <v>67</v>
      </c>
      <c r="T66" s="64"/>
      <c r="U66" s="28">
        <f t="shared" si="64"/>
        <v>0</v>
      </c>
      <c r="V66" s="97"/>
      <c r="W66" s="66">
        <f t="shared" si="68"/>
        <v>0</v>
      </c>
      <c r="X66" s="63">
        <v>20</v>
      </c>
      <c r="Y66" s="64"/>
      <c r="Z66" s="28">
        <f t="shared" si="89"/>
        <v>0</v>
      </c>
      <c r="AA66" s="64"/>
      <c r="AB66" s="30">
        <f t="shared" si="90"/>
        <v>0</v>
      </c>
      <c r="AC66" s="89">
        <f t="shared" si="91"/>
        <v>87</v>
      </c>
      <c r="AD66" s="29">
        <f t="shared" si="92"/>
        <v>0</v>
      </c>
      <c r="AE66" s="28">
        <f t="shared" si="93"/>
        <v>0</v>
      </c>
      <c r="AF66" s="58">
        <f t="shared" si="94"/>
        <v>0</v>
      </c>
      <c r="AG66" s="30">
        <f t="shared" si="95"/>
        <v>0</v>
      </c>
    </row>
    <row r="67" spans="1:35" ht="21" thickBot="1" x14ac:dyDescent="0.35">
      <c r="A67" s="51"/>
      <c r="B67" s="57"/>
      <c r="C67" s="78" t="s">
        <v>126</v>
      </c>
      <c r="D67" s="24"/>
      <c r="E67" s="25"/>
      <c r="F67" s="26"/>
      <c r="G67" s="25"/>
      <c r="H67" s="27"/>
      <c r="I67" s="24"/>
      <c r="J67" s="25"/>
      <c r="K67" s="28"/>
      <c r="L67" s="29"/>
      <c r="M67" s="30"/>
      <c r="N67" s="31"/>
      <c r="O67" s="29"/>
      <c r="P67" s="28"/>
      <c r="Q67" s="29"/>
      <c r="R67" s="30"/>
      <c r="S67" s="111">
        <f>SUM(S62:S66)</f>
        <v>112</v>
      </c>
      <c r="T67" s="111">
        <f>SUM(T62:T66)</f>
        <v>0</v>
      </c>
      <c r="U67" s="108">
        <f>T67*100/S67</f>
        <v>0</v>
      </c>
      <c r="V67" s="111">
        <f>SUM(V62:V66)</f>
        <v>0</v>
      </c>
      <c r="W67" s="108">
        <f>V67*100/S67</f>
        <v>0</v>
      </c>
      <c r="X67" s="111">
        <f>SUM(X62:X66)</f>
        <v>76</v>
      </c>
      <c r="Y67" s="111">
        <f>SUM(Y62:Y66)</f>
        <v>0</v>
      </c>
      <c r="Z67" s="108">
        <f>Y67*100/X67</f>
        <v>0</v>
      </c>
      <c r="AA67" s="111">
        <f>SUM(AA62:AA66)</f>
        <v>0</v>
      </c>
      <c r="AB67" s="108">
        <f>AA67*100/X67</f>
        <v>0</v>
      </c>
      <c r="AC67" s="111">
        <f>SUM(AC62:AC66)</f>
        <v>188</v>
      </c>
      <c r="AD67" s="111">
        <f>SUM(AD62:AD66)</f>
        <v>0</v>
      </c>
      <c r="AE67" s="108">
        <f>AD67*100/AC67</f>
        <v>0</v>
      </c>
      <c r="AF67" s="111">
        <f>SUM(AF62:AF66)</f>
        <v>0</v>
      </c>
      <c r="AG67" s="108">
        <f>AF67*100/AC67</f>
        <v>0</v>
      </c>
    </row>
    <row r="68" spans="1:35" ht="48.75" customHeight="1" thickBot="1" x14ac:dyDescent="0.35">
      <c r="A68" s="51">
        <v>16</v>
      </c>
      <c r="B68" s="57" t="s">
        <v>97</v>
      </c>
      <c r="C68" s="50" t="s">
        <v>22</v>
      </c>
      <c r="D68" s="24">
        <v>1</v>
      </c>
      <c r="E68" s="25">
        <v>0</v>
      </c>
      <c r="F68" s="26">
        <f t="shared" si="50"/>
        <v>0</v>
      </c>
      <c r="G68" s="25">
        <v>0</v>
      </c>
      <c r="H68" s="27">
        <f t="shared" si="51"/>
        <v>0</v>
      </c>
      <c r="I68" s="31">
        <v>3</v>
      </c>
      <c r="J68" s="29">
        <v>0</v>
      </c>
      <c r="K68" s="28">
        <f t="shared" si="52"/>
        <v>0</v>
      </c>
      <c r="L68" s="29">
        <v>0</v>
      </c>
      <c r="M68" s="30">
        <f t="shared" si="53"/>
        <v>0</v>
      </c>
      <c r="N68" s="31">
        <v>3</v>
      </c>
      <c r="O68" s="29">
        <v>0</v>
      </c>
      <c r="P68" s="28">
        <f t="shared" si="54"/>
        <v>0</v>
      </c>
      <c r="Q68" s="29">
        <v>0</v>
      </c>
      <c r="R68" s="30">
        <f t="shared" si="39"/>
        <v>0</v>
      </c>
      <c r="S68" s="109">
        <f>1+3+3</f>
        <v>7</v>
      </c>
      <c r="T68" s="70"/>
      <c r="U68" s="28">
        <f t="shared" si="64"/>
        <v>0</v>
      </c>
      <c r="V68" s="69"/>
      <c r="W68" s="73">
        <f t="shared" si="68"/>
        <v>0</v>
      </c>
      <c r="X68" s="110">
        <v>7</v>
      </c>
      <c r="Y68" s="70"/>
      <c r="Z68" s="28">
        <f t="shared" ref="Z68:Z70" si="102">Y68*100/X68</f>
        <v>0</v>
      </c>
      <c r="AA68" s="70">
        <v>7</v>
      </c>
      <c r="AB68" s="73">
        <f t="shared" ref="AB68:AB70" si="103">AA68*100/X68</f>
        <v>100</v>
      </c>
      <c r="AC68" s="89">
        <f t="shared" ref="AC68:AC70" si="104">X68+S68</f>
        <v>14</v>
      </c>
      <c r="AD68" s="29">
        <f t="shared" ref="AD68:AD70" si="105">Y68+T68</f>
        <v>0</v>
      </c>
      <c r="AE68" s="28">
        <f t="shared" ref="AE68:AE70" si="106">AD68*100/AC68</f>
        <v>0</v>
      </c>
      <c r="AF68" s="58">
        <f t="shared" ref="AF68:AF70" si="107">AA68+V68</f>
        <v>7</v>
      </c>
      <c r="AG68" s="30">
        <f t="shared" ref="AG68:AG70" si="108">AF68*100/AC68</f>
        <v>50</v>
      </c>
      <c r="AH68" s="4"/>
      <c r="AI68" s="4"/>
    </row>
    <row r="69" spans="1:35" ht="32.25" thickBot="1" x14ac:dyDescent="0.35">
      <c r="A69" s="51">
        <v>29</v>
      </c>
      <c r="B69" s="57" t="s">
        <v>97</v>
      </c>
      <c r="C69" s="132" t="s">
        <v>35</v>
      </c>
      <c r="D69" s="24">
        <v>58</v>
      </c>
      <c r="E69" s="25">
        <v>0</v>
      </c>
      <c r="F69" s="26">
        <f>E69*100/D69</f>
        <v>0</v>
      </c>
      <c r="G69" s="25">
        <v>0</v>
      </c>
      <c r="H69" s="27">
        <f>G69*100/D69</f>
        <v>0</v>
      </c>
      <c r="I69" s="31">
        <v>98</v>
      </c>
      <c r="J69" s="29">
        <v>0</v>
      </c>
      <c r="K69" s="28">
        <f>J69*100/I69</f>
        <v>0</v>
      </c>
      <c r="L69" s="29">
        <v>0</v>
      </c>
      <c r="M69" s="30">
        <f>L69*100/I69</f>
        <v>0</v>
      </c>
      <c r="N69" s="31">
        <v>115</v>
      </c>
      <c r="O69" s="29">
        <v>0</v>
      </c>
      <c r="P69" s="28">
        <f>O69*100/N69</f>
        <v>0</v>
      </c>
      <c r="Q69" s="29">
        <v>0</v>
      </c>
      <c r="R69" s="30">
        <f>Q69*100/N69</f>
        <v>0</v>
      </c>
      <c r="S69" s="89">
        <f>58+98+115</f>
        <v>271</v>
      </c>
      <c r="T69" s="29"/>
      <c r="U69" s="28">
        <f t="shared" si="64"/>
        <v>0</v>
      </c>
      <c r="V69" s="58"/>
      <c r="W69" s="30">
        <f t="shared" si="68"/>
        <v>0</v>
      </c>
      <c r="X69" s="31">
        <v>76</v>
      </c>
      <c r="Y69" s="29"/>
      <c r="Z69" s="28">
        <f t="shared" si="102"/>
        <v>0</v>
      </c>
      <c r="AA69" s="130">
        <v>10</v>
      </c>
      <c r="AB69" s="73">
        <f t="shared" si="103"/>
        <v>13.157894736842104</v>
      </c>
      <c r="AC69" s="89">
        <f t="shared" si="104"/>
        <v>347</v>
      </c>
      <c r="AD69" s="29">
        <f t="shared" si="105"/>
        <v>0</v>
      </c>
      <c r="AE69" s="28">
        <f t="shared" si="106"/>
        <v>0</v>
      </c>
      <c r="AF69" s="58">
        <f t="shared" si="107"/>
        <v>10</v>
      </c>
      <c r="AG69" s="30">
        <f t="shared" si="108"/>
        <v>2.8818443804034581</v>
      </c>
      <c r="AH69" s="4"/>
      <c r="AI69" s="4"/>
    </row>
    <row r="70" spans="1:35" ht="66.75" customHeight="1" thickBot="1" x14ac:dyDescent="0.35">
      <c r="A70" s="51">
        <v>41</v>
      </c>
      <c r="B70" s="57" t="s">
        <v>97</v>
      </c>
      <c r="C70" s="132" t="s">
        <v>47</v>
      </c>
      <c r="D70" s="24">
        <v>14</v>
      </c>
      <c r="E70" s="25">
        <v>0</v>
      </c>
      <c r="F70" s="26">
        <f>E70*100/D70</f>
        <v>0</v>
      </c>
      <c r="G70" s="25">
        <v>0</v>
      </c>
      <c r="H70" s="30">
        <f>G70*100/D70</f>
        <v>0</v>
      </c>
      <c r="I70" s="31">
        <v>112</v>
      </c>
      <c r="J70" s="29">
        <v>0</v>
      </c>
      <c r="K70" s="28">
        <f>J70*100/I70</f>
        <v>0</v>
      </c>
      <c r="L70" s="29">
        <v>0</v>
      </c>
      <c r="M70" s="30">
        <f>L70*100/I70</f>
        <v>0</v>
      </c>
      <c r="N70" s="31">
        <v>18</v>
      </c>
      <c r="O70" s="29">
        <v>0</v>
      </c>
      <c r="P70" s="28">
        <f>O70*100/N70</f>
        <v>0</v>
      </c>
      <c r="Q70" s="29">
        <v>0</v>
      </c>
      <c r="R70" s="30">
        <f>Q70*100/N70</f>
        <v>0</v>
      </c>
      <c r="S70" s="96">
        <f>14+112+18</f>
        <v>144</v>
      </c>
      <c r="T70" s="64"/>
      <c r="U70" s="28">
        <f t="shared" si="64"/>
        <v>0</v>
      </c>
      <c r="V70" s="97"/>
      <c r="W70" s="30">
        <f t="shared" si="68"/>
        <v>0</v>
      </c>
      <c r="X70" s="63">
        <v>13</v>
      </c>
      <c r="Y70" s="64"/>
      <c r="Z70" s="28">
        <f t="shared" si="102"/>
        <v>0</v>
      </c>
      <c r="AA70" s="131">
        <v>13</v>
      </c>
      <c r="AB70" s="73">
        <f t="shared" si="103"/>
        <v>100</v>
      </c>
      <c r="AC70" s="89">
        <f t="shared" si="104"/>
        <v>157</v>
      </c>
      <c r="AD70" s="29">
        <f t="shared" si="105"/>
        <v>0</v>
      </c>
      <c r="AE70" s="28">
        <f t="shared" si="106"/>
        <v>0</v>
      </c>
      <c r="AF70" s="58">
        <f t="shared" si="107"/>
        <v>13</v>
      </c>
      <c r="AG70" s="30">
        <f t="shared" si="108"/>
        <v>8.2802547770700645</v>
      </c>
      <c r="AH70" s="4"/>
      <c r="AI70" s="4"/>
    </row>
    <row r="71" spans="1:35" ht="24.75" customHeight="1" thickBot="1" x14ac:dyDescent="0.35">
      <c r="A71" s="51"/>
      <c r="B71" s="57"/>
      <c r="C71" s="78" t="s">
        <v>127</v>
      </c>
      <c r="D71" s="24"/>
      <c r="E71" s="25"/>
      <c r="F71" s="26"/>
      <c r="G71" s="25"/>
      <c r="H71" s="30"/>
      <c r="I71" s="31"/>
      <c r="J71" s="29"/>
      <c r="K71" s="28"/>
      <c r="L71" s="29"/>
      <c r="M71" s="30"/>
      <c r="N71" s="31"/>
      <c r="O71" s="29"/>
      <c r="P71" s="28"/>
      <c r="Q71" s="29"/>
      <c r="R71" s="30"/>
      <c r="S71" s="111">
        <f>SUM(S68:S70)</f>
        <v>422</v>
      </c>
      <c r="T71" s="111">
        <f>SUM(T68:T70)</f>
        <v>0</v>
      </c>
      <c r="U71" s="108">
        <f>T71*100/S71</f>
        <v>0</v>
      </c>
      <c r="V71" s="111">
        <f>SUM(V68:V70)</f>
        <v>0</v>
      </c>
      <c r="W71" s="108">
        <f>V71*100/S71</f>
        <v>0</v>
      </c>
      <c r="X71" s="111">
        <f t="shared" ref="X71:Y71" si="109">SUM(X68:X70)</f>
        <v>96</v>
      </c>
      <c r="Y71" s="111">
        <f t="shared" si="109"/>
        <v>0</v>
      </c>
      <c r="Z71" s="108">
        <f>Y71*100/X71</f>
        <v>0</v>
      </c>
      <c r="AA71" s="111">
        <f>SUM(AA68:AA70)</f>
        <v>30</v>
      </c>
      <c r="AB71" s="108">
        <f>AA71*100/X71</f>
        <v>31.25</v>
      </c>
      <c r="AC71" s="111">
        <f t="shared" ref="AC71" si="110">SUM(AC68:AC70)</f>
        <v>518</v>
      </c>
      <c r="AD71" s="111">
        <f t="shared" ref="AD71" si="111">SUM(AD68:AD70)</f>
        <v>0</v>
      </c>
      <c r="AE71" s="108">
        <f>AD71*100/AC71</f>
        <v>0</v>
      </c>
      <c r="AF71" s="111">
        <f>SUM(AF68:AF70)</f>
        <v>30</v>
      </c>
      <c r="AG71" s="108">
        <f>AF71*100/AC71</f>
        <v>5.7915057915057915</v>
      </c>
      <c r="AH71" s="4"/>
      <c r="AI71" s="4"/>
    </row>
    <row r="72" spans="1:35" ht="34.5" customHeight="1" thickBot="1" x14ac:dyDescent="0.35">
      <c r="A72" s="51">
        <v>19</v>
      </c>
      <c r="B72" s="57" t="s">
        <v>98</v>
      </c>
      <c r="C72" s="50" t="s">
        <v>25</v>
      </c>
      <c r="D72" s="24">
        <v>28</v>
      </c>
      <c r="E72" s="25">
        <v>0</v>
      </c>
      <c r="F72" s="26">
        <f t="shared" si="50"/>
        <v>0</v>
      </c>
      <c r="G72" s="25">
        <v>0</v>
      </c>
      <c r="H72" s="27">
        <f t="shared" si="51"/>
        <v>0</v>
      </c>
      <c r="I72" s="31">
        <v>101</v>
      </c>
      <c r="J72" s="29">
        <v>0</v>
      </c>
      <c r="K72" s="28">
        <f t="shared" si="52"/>
        <v>0</v>
      </c>
      <c r="L72" s="29">
        <v>0</v>
      </c>
      <c r="M72" s="30">
        <f t="shared" si="53"/>
        <v>0</v>
      </c>
      <c r="N72" s="31">
        <v>5</v>
      </c>
      <c r="O72" s="29">
        <v>0</v>
      </c>
      <c r="P72" s="28">
        <f t="shared" si="54"/>
        <v>0</v>
      </c>
      <c r="Q72" s="29">
        <v>0</v>
      </c>
      <c r="R72" s="30">
        <f t="shared" si="39"/>
        <v>0</v>
      </c>
      <c r="S72" s="109">
        <f>28+101+5</f>
        <v>134</v>
      </c>
      <c r="T72" s="70"/>
      <c r="U72" s="28">
        <f t="shared" si="64"/>
        <v>0</v>
      </c>
      <c r="V72" s="69"/>
      <c r="W72" s="30">
        <f t="shared" si="68"/>
        <v>0</v>
      </c>
      <c r="X72" s="110"/>
      <c r="Y72" s="70"/>
      <c r="Z72" s="71"/>
      <c r="AA72" s="70"/>
      <c r="AB72" s="73"/>
      <c r="AC72" s="89">
        <f t="shared" ref="AC72:AC77" si="112">X72+S72</f>
        <v>134</v>
      </c>
      <c r="AD72" s="29">
        <f t="shared" ref="AD72:AD77" si="113">Y72+T72</f>
        <v>0</v>
      </c>
      <c r="AE72" s="28">
        <f t="shared" ref="AE72:AE76" si="114">AD72*100/AC72</f>
        <v>0</v>
      </c>
      <c r="AF72" s="58">
        <f t="shared" ref="AF72:AF77" si="115">AA72+V72</f>
        <v>0</v>
      </c>
      <c r="AG72" s="30">
        <f t="shared" ref="AG72:AG76" si="116">AF72*100/AC72</f>
        <v>0</v>
      </c>
      <c r="AH72" s="4"/>
      <c r="AI72" s="4"/>
    </row>
    <row r="73" spans="1:35" ht="48" thickBot="1" x14ac:dyDescent="0.35">
      <c r="A73" s="51">
        <v>26</v>
      </c>
      <c r="B73" s="57" t="s">
        <v>98</v>
      </c>
      <c r="C73" s="50" t="s">
        <v>32</v>
      </c>
      <c r="D73" s="24">
        <v>0</v>
      </c>
      <c r="E73" s="25">
        <v>0</v>
      </c>
      <c r="F73" s="26"/>
      <c r="G73" s="25">
        <v>0</v>
      </c>
      <c r="H73" s="27"/>
      <c r="I73" s="31">
        <v>0</v>
      </c>
      <c r="J73" s="29">
        <v>0</v>
      </c>
      <c r="K73" s="28"/>
      <c r="L73" s="29">
        <v>0</v>
      </c>
      <c r="M73" s="30"/>
      <c r="N73" s="31">
        <v>0</v>
      </c>
      <c r="O73" s="29">
        <v>0</v>
      </c>
      <c r="P73" s="28"/>
      <c r="Q73" s="29">
        <v>0</v>
      </c>
      <c r="R73" s="30"/>
      <c r="S73" s="89"/>
      <c r="T73" s="29"/>
      <c r="U73" s="28"/>
      <c r="V73" s="58"/>
      <c r="W73" s="30"/>
      <c r="X73" s="31"/>
      <c r="Y73" s="29"/>
      <c r="Z73" s="28"/>
      <c r="AA73" s="29"/>
      <c r="AB73" s="30"/>
      <c r="AC73" s="89">
        <f t="shared" si="112"/>
        <v>0</v>
      </c>
      <c r="AD73" s="29">
        <f t="shared" si="113"/>
        <v>0</v>
      </c>
      <c r="AE73" s="28"/>
      <c r="AF73" s="58">
        <f t="shared" si="115"/>
        <v>0</v>
      </c>
      <c r="AG73" s="30"/>
      <c r="AH73" s="4"/>
      <c r="AI73" s="4"/>
    </row>
    <row r="74" spans="1:35" ht="80.25" customHeight="1" thickBot="1" x14ac:dyDescent="0.35">
      <c r="A74" s="51">
        <v>33</v>
      </c>
      <c r="B74" s="57" t="s">
        <v>98</v>
      </c>
      <c r="C74" s="50" t="s">
        <v>39</v>
      </c>
      <c r="D74" s="24">
        <v>0</v>
      </c>
      <c r="E74" s="25">
        <v>0</v>
      </c>
      <c r="F74" s="26"/>
      <c r="G74" s="25">
        <v>0</v>
      </c>
      <c r="H74" s="27"/>
      <c r="I74" s="24">
        <v>0</v>
      </c>
      <c r="J74" s="29">
        <v>0</v>
      </c>
      <c r="K74" s="28"/>
      <c r="L74" s="29">
        <v>0</v>
      </c>
      <c r="M74" s="30"/>
      <c r="N74" s="31">
        <v>0</v>
      </c>
      <c r="O74" s="29">
        <v>0</v>
      </c>
      <c r="P74" s="28"/>
      <c r="Q74" s="29">
        <v>0</v>
      </c>
      <c r="R74" s="30"/>
      <c r="S74" s="89"/>
      <c r="T74" s="29"/>
      <c r="U74" s="28"/>
      <c r="V74" s="58"/>
      <c r="W74" s="30"/>
      <c r="X74" s="31"/>
      <c r="Y74" s="29"/>
      <c r="Z74" s="28"/>
      <c r="AA74" s="29"/>
      <c r="AB74" s="30"/>
      <c r="AC74" s="89">
        <f t="shared" si="112"/>
        <v>0</v>
      </c>
      <c r="AD74" s="29">
        <f t="shared" si="113"/>
        <v>0</v>
      </c>
      <c r="AE74" s="28"/>
      <c r="AF74" s="58">
        <f t="shared" si="115"/>
        <v>0</v>
      </c>
      <c r="AG74" s="30"/>
      <c r="AH74" s="4"/>
      <c r="AI74" s="4"/>
    </row>
    <row r="75" spans="1:35" ht="32.25" thickBot="1" x14ac:dyDescent="0.35">
      <c r="A75" s="51">
        <v>42</v>
      </c>
      <c r="B75" s="57" t="s">
        <v>98</v>
      </c>
      <c r="C75" s="50" t="s">
        <v>48</v>
      </c>
      <c r="D75" s="24">
        <v>0</v>
      </c>
      <c r="E75" s="25">
        <v>0</v>
      </c>
      <c r="F75" s="26"/>
      <c r="G75" s="25">
        <v>0</v>
      </c>
      <c r="H75" s="30"/>
      <c r="I75" s="31">
        <v>0</v>
      </c>
      <c r="J75" s="29">
        <v>0</v>
      </c>
      <c r="K75" s="28"/>
      <c r="L75" s="29">
        <v>0</v>
      </c>
      <c r="M75" s="30"/>
      <c r="N75" s="31">
        <v>0</v>
      </c>
      <c r="O75" s="29">
        <v>0</v>
      </c>
      <c r="P75" s="28"/>
      <c r="Q75" s="29">
        <v>0</v>
      </c>
      <c r="R75" s="30"/>
      <c r="S75" s="89"/>
      <c r="T75" s="29"/>
      <c r="U75" s="28"/>
      <c r="V75" s="58"/>
      <c r="W75" s="30"/>
      <c r="X75" s="31"/>
      <c r="Y75" s="29"/>
      <c r="Z75" s="28"/>
      <c r="AA75" s="29"/>
      <c r="AB75" s="30"/>
      <c r="AC75" s="89">
        <f t="shared" si="112"/>
        <v>0</v>
      </c>
      <c r="AD75" s="29">
        <f t="shared" si="113"/>
        <v>0</v>
      </c>
      <c r="AE75" s="28"/>
      <c r="AF75" s="58">
        <f t="shared" si="115"/>
        <v>0</v>
      </c>
      <c r="AG75" s="30"/>
      <c r="AH75" s="4"/>
      <c r="AI75" s="4"/>
    </row>
    <row r="76" spans="1:35" ht="32.25" thickBot="1" x14ac:dyDescent="0.35">
      <c r="A76" s="51">
        <v>52</v>
      </c>
      <c r="B76" s="57" t="s">
        <v>98</v>
      </c>
      <c r="C76" s="50" t="s">
        <v>58</v>
      </c>
      <c r="D76" s="24">
        <v>0</v>
      </c>
      <c r="E76" s="25">
        <v>0</v>
      </c>
      <c r="F76" s="26"/>
      <c r="G76" s="25">
        <v>0</v>
      </c>
      <c r="H76" s="27"/>
      <c r="I76" s="31">
        <v>0</v>
      </c>
      <c r="J76" s="29">
        <v>0</v>
      </c>
      <c r="K76" s="28"/>
      <c r="L76" s="29">
        <v>0</v>
      </c>
      <c r="M76" s="30"/>
      <c r="N76" s="31">
        <v>4</v>
      </c>
      <c r="O76" s="29">
        <v>0</v>
      </c>
      <c r="P76" s="28">
        <f>O76*100/N76</f>
        <v>0</v>
      </c>
      <c r="Q76" s="29">
        <v>0</v>
      </c>
      <c r="R76" s="30">
        <f>Q76*100/N76</f>
        <v>0</v>
      </c>
      <c r="S76" s="89">
        <f>4+0+0</f>
        <v>4</v>
      </c>
      <c r="T76" s="29"/>
      <c r="U76" s="28">
        <f t="shared" si="64"/>
        <v>0</v>
      </c>
      <c r="V76" s="58"/>
      <c r="W76" s="30">
        <f t="shared" si="68"/>
        <v>0</v>
      </c>
      <c r="X76" s="31"/>
      <c r="Y76" s="29"/>
      <c r="Z76" s="28"/>
      <c r="AA76" s="29"/>
      <c r="AB76" s="30"/>
      <c r="AC76" s="89">
        <f t="shared" si="112"/>
        <v>4</v>
      </c>
      <c r="AD76" s="29">
        <f t="shared" si="113"/>
        <v>0</v>
      </c>
      <c r="AE76" s="28">
        <f t="shared" si="114"/>
        <v>0</v>
      </c>
      <c r="AF76" s="58">
        <f t="shared" si="115"/>
        <v>0</v>
      </c>
      <c r="AG76" s="30">
        <f t="shared" si="116"/>
        <v>0</v>
      </c>
      <c r="AH76" s="4"/>
    </row>
    <row r="77" spans="1:35" ht="32.25" thickBot="1" x14ac:dyDescent="0.35">
      <c r="A77" s="51">
        <v>59</v>
      </c>
      <c r="B77" s="57" t="s">
        <v>98</v>
      </c>
      <c r="C77" s="50" t="s">
        <v>65</v>
      </c>
      <c r="D77" s="24">
        <v>0</v>
      </c>
      <c r="E77" s="25">
        <v>0</v>
      </c>
      <c r="F77" s="26"/>
      <c r="G77" s="25">
        <v>0</v>
      </c>
      <c r="H77" s="27"/>
      <c r="I77" s="24">
        <v>0</v>
      </c>
      <c r="J77" s="29">
        <v>0</v>
      </c>
      <c r="K77" s="28"/>
      <c r="L77" s="29">
        <v>0</v>
      </c>
      <c r="M77" s="30"/>
      <c r="N77" s="31">
        <v>0</v>
      </c>
      <c r="O77" s="29">
        <v>0</v>
      </c>
      <c r="P77" s="28"/>
      <c r="Q77" s="29">
        <v>0</v>
      </c>
      <c r="R77" s="30"/>
      <c r="S77" s="96"/>
      <c r="T77" s="64"/>
      <c r="U77" s="28"/>
      <c r="V77" s="97"/>
      <c r="W77" s="30"/>
      <c r="X77" s="63"/>
      <c r="Y77" s="64"/>
      <c r="Z77" s="65"/>
      <c r="AA77" s="64"/>
      <c r="AB77" s="66"/>
      <c r="AC77" s="89">
        <f t="shared" si="112"/>
        <v>0</v>
      </c>
      <c r="AD77" s="29">
        <f t="shared" si="113"/>
        <v>0</v>
      </c>
      <c r="AE77" s="28"/>
      <c r="AF77" s="58">
        <f t="shared" si="115"/>
        <v>0</v>
      </c>
      <c r="AG77" s="30"/>
    </row>
    <row r="78" spans="1:35" ht="21" thickBot="1" x14ac:dyDescent="0.35">
      <c r="A78" s="51"/>
      <c r="B78" s="57"/>
      <c r="C78" s="78" t="s">
        <v>128</v>
      </c>
      <c r="D78" s="24"/>
      <c r="E78" s="25"/>
      <c r="F78" s="26"/>
      <c r="G78" s="25"/>
      <c r="H78" s="27"/>
      <c r="I78" s="24"/>
      <c r="J78" s="29"/>
      <c r="K78" s="28"/>
      <c r="L78" s="29"/>
      <c r="M78" s="30"/>
      <c r="N78" s="31"/>
      <c r="O78" s="29"/>
      <c r="P78" s="28"/>
      <c r="Q78" s="29"/>
      <c r="R78" s="30"/>
      <c r="S78" s="111">
        <f>SUM(S72:S77)</f>
        <v>138</v>
      </c>
      <c r="T78" s="111">
        <f>SUM(T72:T77)</f>
        <v>0</v>
      </c>
      <c r="U78" s="108">
        <f>T78*100/S78</f>
        <v>0</v>
      </c>
      <c r="V78" s="111">
        <f>SUM(V72:V77)</f>
        <v>0</v>
      </c>
      <c r="W78" s="108">
        <f>V78*100/S78</f>
        <v>0</v>
      </c>
      <c r="X78" s="111">
        <f t="shared" ref="X78:Y78" si="117">SUM(X72:X77)</f>
        <v>0</v>
      </c>
      <c r="Y78" s="111">
        <f t="shared" si="117"/>
        <v>0</v>
      </c>
      <c r="Z78" s="108"/>
      <c r="AA78" s="111">
        <f>SUM(AA72:AA77)</f>
        <v>0</v>
      </c>
      <c r="AB78" s="108"/>
      <c r="AC78" s="111">
        <f>SUM(AC72:AC77)</f>
        <v>138</v>
      </c>
      <c r="AD78" s="111">
        <f>SUM(AD72:AD77)</f>
        <v>0</v>
      </c>
      <c r="AE78" s="108">
        <f>AD78*100/AC78</f>
        <v>0</v>
      </c>
      <c r="AF78" s="111">
        <f>SUM(AF72:AF77)</f>
        <v>0</v>
      </c>
      <c r="AG78" s="108">
        <f>AF78*100/AC78</f>
        <v>0</v>
      </c>
    </row>
    <row r="79" spans="1:35" ht="62.1" customHeight="1" thickBot="1" x14ac:dyDescent="0.35">
      <c r="A79" s="51">
        <v>21</v>
      </c>
      <c r="B79" s="57" t="s">
        <v>99</v>
      </c>
      <c r="C79" s="50" t="s">
        <v>27</v>
      </c>
      <c r="D79" s="24">
        <v>0</v>
      </c>
      <c r="E79" s="25">
        <v>0</v>
      </c>
      <c r="F79" s="26"/>
      <c r="G79" s="25">
        <v>0</v>
      </c>
      <c r="H79" s="27"/>
      <c r="I79" s="31">
        <v>0</v>
      </c>
      <c r="J79" s="29">
        <v>0</v>
      </c>
      <c r="K79" s="28"/>
      <c r="L79" s="29">
        <v>0</v>
      </c>
      <c r="M79" s="30"/>
      <c r="N79" s="31">
        <v>0</v>
      </c>
      <c r="O79" s="29">
        <v>0</v>
      </c>
      <c r="P79" s="28"/>
      <c r="Q79" s="29">
        <v>0</v>
      </c>
      <c r="R79" s="30"/>
      <c r="S79" s="109"/>
      <c r="T79" s="70"/>
      <c r="U79" s="28"/>
      <c r="V79" s="69"/>
      <c r="W79" s="30"/>
      <c r="X79" s="110"/>
      <c r="Y79" s="70"/>
      <c r="Z79" s="28"/>
      <c r="AA79" s="70"/>
      <c r="AB79" s="73"/>
      <c r="AC79" s="89">
        <f t="shared" ref="AC79:AC82" si="118">X79+S79</f>
        <v>0</v>
      </c>
      <c r="AD79" s="29">
        <f t="shared" ref="AD79:AD82" si="119">Y79+T79</f>
        <v>0</v>
      </c>
      <c r="AE79" s="28"/>
      <c r="AF79" s="58">
        <f t="shared" ref="AF79:AF82" si="120">AA79+V79</f>
        <v>0</v>
      </c>
      <c r="AG79" s="30"/>
      <c r="AH79" s="4"/>
      <c r="AI79" s="4"/>
    </row>
    <row r="80" spans="1:35" ht="32.25" thickBot="1" x14ac:dyDescent="0.35">
      <c r="A80" s="51">
        <v>27</v>
      </c>
      <c r="B80" s="57" t="s">
        <v>99</v>
      </c>
      <c r="C80" s="50" t="s">
        <v>33</v>
      </c>
      <c r="D80" s="24">
        <v>0</v>
      </c>
      <c r="E80" s="25">
        <v>0</v>
      </c>
      <c r="F80" s="26"/>
      <c r="G80" s="25">
        <v>0</v>
      </c>
      <c r="H80" s="27"/>
      <c r="I80" s="31">
        <v>0</v>
      </c>
      <c r="J80" s="29">
        <v>0</v>
      </c>
      <c r="K80" s="28"/>
      <c r="L80" s="29">
        <v>0</v>
      </c>
      <c r="M80" s="30"/>
      <c r="N80" s="31">
        <v>2</v>
      </c>
      <c r="O80" s="29">
        <v>0</v>
      </c>
      <c r="P80" s="28">
        <f t="shared" si="54"/>
        <v>0</v>
      </c>
      <c r="Q80" s="29">
        <v>0</v>
      </c>
      <c r="R80" s="30">
        <f t="shared" si="39"/>
        <v>0</v>
      </c>
      <c r="S80" s="89">
        <f>345+212+189</f>
        <v>746</v>
      </c>
      <c r="T80" s="29"/>
      <c r="U80" s="28">
        <f t="shared" si="64"/>
        <v>0</v>
      </c>
      <c r="V80" s="58"/>
      <c r="W80" s="30">
        <f t="shared" si="68"/>
        <v>0</v>
      </c>
      <c r="X80" s="31"/>
      <c r="Y80" s="29"/>
      <c r="Z80" s="28"/>
      <c r="AA80" s="29"/>
      <c r="AB80" s="30"/>
      <c r="AC80" s="89">
        <f t="shared" si="118"/>
        <v>746</v>
      </c>
      <c r="AD80" s="29">
        <f t="shared" si="119"/>
        <v>0</v>
      </c>
      <c r="AE80" s="28">
        <f t="shared" ref="AE80:AE81" si="121">AD80*100/AC80</f>
        <v>0</v>
      </c>
      <c r="AF80" s="58">
        <f t="shared" si="120"/>
        <v>0</v>
      </c>
      <c r="AG80" s="30">
        <f t="shared" ref="AG80:AG81" si="122">AF80*100/AC80</f>
        <v>0</v>
      </c>
      <c r="AH80" s="4"/>
      <c r="AI80" s="4"/>
    </row>
    <row r="81" spans="1:35" ht="32.25" thickBot="1" x14ac:dyDescent="0.35">
      <c r="A81" s="51">
        <v>35</v>
      </c>
      <c r="B81" s="57" t="s">
        <v>99</v>
      </c>
      <c r="C81" s="133" t="s">
        <v>41</v>
      </c>
      <c r="D81" s="24">
        <v>345</v>
      </c>
      <c r="E81" s="25">
        <v>0</v>
      </c>
      <c r="F81" s="26">
        <f>E81*100/D81</f>
        <v>0</v>
      </c>
      <c r="G81" s="25">
        <v>0</v>
      </c>
      <c r="H81" s="27">
        <f>G81*100/D81</f>
        <v>0</v>
      </c>
      <c r="I81" s="24">
        <v>212</v>
      </c>
      <c r="J81" s="29">
        <v>0</v>
      </c>
      <c r="K81" s="28">
        <f>J81*100/I81</f>
        <v>0</v>
      </c>
      <c r="L81" s="29">
        <v>0</v>
      </c>
      <c r="M81" s="30">
        <f>L81*100/I81</f>
        <v>0</v>
      </c>
      <c r="N81" s="31">
        <v>189</v>
      </c>
      <c r="O81" s="29">
        <v>0</v>
      </c>
      <c r="P81" s="28">
        <f>O81*100/N81</f>
        <v>0</v>
      </c>
      <c r="Q81" s="29">
        <v>0</v>
      </c>
      <c r="R81" s="30">
        <f>Q81*100/N81</f>
        <v>0</v>
      </c>
      <c r="S81" s="89"/>
      <c r="T81" s="29"/>
      <c r="U81" s="28"/>
      <c r="V81" s="58"/>
      <c r="W81" s="30"/>
      <c r="X81" s="31">
        <v>189</v>
      </c>
      <c r="Y81" s="29"/>
      <c r="Z81" s="28">
        <f t="shared" ref="Z81" si="123">Y81*100/X81</f>
        <v>0</v>
      </c>
      <c r="AA81" s="29"/>
      <c r="AB81" s="30">
        <f t="shared" ref="AB81" si="124">AA81*100/X81</f>
        <v>0</v>
      </c>
      <c r="AC81" s="89">
        <f t="shared" si="118"/>
        <v>189</v>
      </c>
      <c r="AD81" s="29">
        <f t="shared" si="119"/>
        <v>0</v>
      </c>
      <c r="AE81" s="28">
        <f t="shared" si="121"/>
        <v>0</v>
      </c>
      <c r="AF81" s="58">
        <f t="shared" si="120"/>
        <v>0</v>
      </c>
      <c r="AG81" s="30">
        <f t="shared" si="122"/>
        <v>0</v>
      </c>
      <c r="AH81" s="4"/>
      <c r="AI81" s="4"/>
    </row>
    <row r="82" spans="1:35" ht="48" thickBot="1" x14ac:dyDescent="0.35">
      <c r="A82" s="51">
        <v>84</v>
      </c>
      <c r="B82" s="57" t="s">
        <v>99</v>
      </c>
      <c r="C82" s="50" t="s">
        <v>89</v>
      </c>
      <c r="D82" s="35">
        <v>0</v>
      </c>
      <c r="E82" s="36">
        <v>0</v>
      </c>
      <c r="F82" s="37"/>
      <c r="G82" s="36">
        <v>0</v>
      </c>
      <c r="H82" s="38"/>
      <c r="I82" s="39">
        <v>0</v>
      </c>
      <c r="J82" s="40">
        <v>0</v>
      </c>
      <c r="K82" s="41"/>
      <c r="L82" s="40">
        <v>0</v>
      </c>
      <c r="M82" s="42"/>
      <c r="N82" s="39">
        <v>0</v>
      </c>
      <c r="O82" s="40">
        <v>0</v>
      </c>
      <c r="P82" s="41"/>
      <c r="Q82" s="40">
        <v>0</v>
      </c>
      <c r="R82" s="42"/>
      <c r="S82" s="96"/>
      <c r="T82" s="64"/>
      <c r="U82" s="28"/>
      <c r="V82" s="97"/>
      <c r="W82" s="30"/>
      <c r="X82" s="63"/>
      <c r="Y82" s="29"/>
      <c r="Z82" s="28"/>
      <c r="AA82" s="64"/>
      <c r="AB82" s="66"/>
      <c r="AC82" s="89">
        <f t="shared" si="118"/>
        <v>0</v>
      </c>
      <c r="AD82" s="29">
        <f t="shared" si="119"/>
        <v>0</v>
      </c>
      <c r="AE82" s="28"/>
      <c r="AF82" s="58">
        <f t="shared" si="120"/>
        <v>0</v>
      </c>
      <c r="AG82" s="30"/>
      <c r="AH82" s="4"/>
    </row>
    <row r="83" spans="1:35" ht="21" thickBot="1" x14ac:dyDescent="0.35">
      <c r="A83" s="51"/>
      <c r="B83" s="57"/>
      <c r="C83" s="78" t="s">
        <v>129</v>
      </c>
      <c r="D83" s="59"/>
      <c r="E83" s="60"/>
      <c r="F83" s="61"/>
      <c r="G83" s="60"/>
      <c r="H83" s="62"/>
      <c r="I83" s="63"/>
      <c r="J83" s="64"/>
      <c r="K83" s="65"/>
      <c r="L83" s="64"/>
      <c r="M83" s="66"/>
      <c r="N83" s="63"/>
      <c r="O83" s="64"/>
      <c r="P83" s="65"/>
      <c r="Q83" s="64"/>
      <c r="R83" s="66"/>
      <c r="S83" s="111">
        <f>SUM(S79:S82)</f>
        <v>746</v>
      </c>
      <c r="T83" s="111">
        <f>SUM(T79:T82)</f>
        <v>0</v>
      </c>
      <c r="U83" s="108">
        <f>T83*100/S83</f>
        <v>0</v>
      </c>
      <c r="V83" s="111">
        <f>SUM(V79:V82)</f>
        <v>0</v>
      </c>
      <c r="W83" s="108">
        <f>V83*100/S83</f>
        <v>0</v>
      </c>
      <c r="X83" s="111">
        <f t="shared" ref="X83:Y83" si="125">SUM(X79:X82)</f>
        <v>189</v>
      </c>
      <c r="Y83" s="111">
        <f t="shared" si="125"/>
        <v>0</v>
      </c>
      <c r="Z83" s="108">
        <f>Y83*100/X83</f>
        <v>0</v>
      </c>
      <c r="AA83" s="111">
        <f>SUM(AA79:AA82)</f>
        <v>0</v>
      </c>
      <c r="AB83" s="108">
        <f>AA83*100/X83</f>
        <v>0</v>
      </c>
      <c r="AC83" s="111">
        <f t="shared" ref="AC83" si="126">SUM(AC79:AC82)</f>
        <v>935</v>
      </c>
      <c r="AD83" s="111">
        <f t="shared" ref="AD83" si="127">SUM(AD79:AD82)</f>
        <v>0</v>
      </c>
      <c r="AE83" s="108">
        <f>AD83*100/AC83</f>
        <v>0</v>
      </c>
      <c r="AF83" s="111">
        <f>SUM(AF79:AF82)</f>
        <v>0</v>
      </c>
      <c r="AG83" s="108">
        <f>AF83*100/AC83</f>
        <v>0</v>
      </c>
      <c r="AH83" s="4"/>
    </row>
    <row r="84" spans="1:35" ht="32.25" thickBot="1" x14ac:dyDescent="0.35">
      <c r="A84" s="51">
        <v>44</v>
      </c>
      <c r="B84" s="57" t="s">
        <v>101</v>
      </c>
      <c r="C84" s="50" t="s">
        <v>50</v>
      </c>
      <c r="D84" s="24">
        <v>3</v>
      </c>
      <c r="E84" s="25">
        <v>0</v>
      </c>
      <c r="F84" s="26">
        <f t="shared" si="50"/>
        <v>0</v>
      </c>
      <c r="G84" s="25">
        <v>1</v>
      </c>
      <c r="H84" s="30">
        <f t="shared" si="51"/>
        <v>33.333333333333336</v>
      </c>
      <c r="I84" s="31">
        <v>16</v>
      </c>
      <c r="J84" s="29">
        <v>0</v>
      </c>
      <c r="K84" s="28">
        <f t="shared" si="52"/>
        <v>0</v>
      </c>
      <c r="L84" s="29">
        <v>10</v>
      </c>
      <c r="M84" s="30">
        <f t="shared" si="53"/>
        <v>62.5</v>
      </c>
      <c r="N84" s="31">
        <v>7</v>
      </c>
      <c r="O84" s="29">
        <v>0</v>
      </c>
      <c r="P84" s="28">
        <f t="shared" si="54"/>
        <v>0</v>
      </c>
      <c r="Q84" s="29">
        <v>0</v>
      </c>
      <c r="R84" s="30">
        <f t="shared" si="39"/>
        <v>0</v>
      </c>
      <c r="S84" s="109">
        <f>3+7</f>
        <v>10</v>
      </c>
      <c r="T84" s="70"/>
      <c r="U84" s="28">
        <f t="shared" si="64"/>
        <v>0</v>
      </c>
      <c r="V84" s="69"/>
      <c r="W84" s="30">
        <f t="shared" si="68"/>
        <v>0</v>
      </c>
      <c r="X84" s="110"/>
      <c r="Y84" s="70"/>
      <c r="Z84" s="71"/>
      <c r="AA84" s="70"/>
      <c r="AB84" s="73"/>
      <c r="AC84" s="89">
        <f t="shared" ref="AC84:AC86" si="128">X84+S84</f>
        <v>10</v>
      </c>
      <c r="AD84" s="29">
        <f t="shared" ref="AD84:AD86" si="129">Y84+T84</f>
        <v>0</v>
      </c>
      <c r="AE84" s="28">
        <f t="shared" ref="AE84" si="130">AD84*100/AC84</f>
        <v>0</v>
      </c>
      <c r="AF84" s="58">
        <f t="shared" ref="AF84:AF86" si="131">AA84+V84</f>
        <v>0</v>
      </c>
      <c r="AG84" s="30">
        <f t="shared" ref="AG84" si="132">AF84*100/AC84</f>
        <v>0</v>
      </c>
      <c r="AH84" s="4"/>
      <c r="AI84" s="4"/>
    </row>
    <row r="85" spans="1:35" ht="48" thickBot="1" x14ac:dyDescent="0.35">
      <c r="A85" s="51">
        <v>53</v>
      </c>
      <c r="B85" s="57" t="s">
        <v>101</v>
      </c>
      <c r="C85" s="50" t="s">
        <v>59</v>
      </c>
      <c r="D85" s="24">
        <v>0</v>
      </c>
      <c r="E85" s="25">
        <v>0</v>
      </c>
      <c r="F85" s="26"/>
      <c r="G85" s="25">
        <v>0</v>
      </c>
      <c r="H85" s="27"/>
      <c r="I85" s="31">
        <v>0</v>
      </c>
      <c r="J85" s="29">
        <v>0</v>
      </c>
      <c r="K85" s="28"/>
      <c r="L85" s="29">
        <v>0</v>
      </c>
      <c r="M85" s="30"/>
      <c r="N85" s="31">
        <v>0</v>
      </c>
      <c r="O85" s="29">
        <v>0</v>
      </c>
      <c r="P85" s="28"/>
      <c r="Q85" s="29">
        <v>0</v>
      </c>
      <c r="R85" s="30"/>
      <c r="S85" s="89"/>
      <c r="T85" s="29"/>
      <c r="U85" s="28"/>
      <c r="V85" s="58"/>
      <c r="W85" s="30"/>
      <c r="X85" s="31"/>
      <c r="Y85" s="29"/>
      <c r="Z85" s="28"/>
      <c r="AA85" s="29"/>
      <c r="AB85" s="30"/>
      <c r="AC85" s="89">
        <f t="shared" si="128"/>
        <v>0</v>
      </c>
      <c r="AD85" s="29">
        <f t="shared" si="129"/>
        <v>0</v>
      </c>
      <c r="AE85" s="28"/>
      <c r="AF85" s="58">
        <f t="shared" si="131"/>
        <v>0</v>
      </c>
      <c r="AG85" s="30"/>
      <c r="AH85" s="4"/>
    </row>
    <row r="86" spans="1:35" ht="52.5" customHeight="1" thickBot="1" x14ac:dyDescent="0.35">
      <c r="A86" s="51">
        <v>54</v>
      </c>
      <c r="B86" s="57" t="s">
        <v>101</v>
      </c>
      <c r="C86" s="50" t="s">
        <v>60</v>
      </c>
      <c r="D86" s="24">
        <v>0</v>
      </c>
      <c r="E86" s="25">
        <v>0</v>
      </c>
      <c r="F86" s="26"/>
      <c r="G86" s="25">
        <v>0</v>
      </c>
      <c r="H86" s="27"/>
      <c r="I86" s="31">
        <v>0</v>
      </c>
      <c r="J86" s="29">
        <v>0</v>
      </c>
      <c r="K86" s="28"/>
      <c r="L86" s="29">
        <v>0</v>
      </c>
      <c r="M86" s="30"/>
      <c r="N86" s="31">
        <v>0</v>
      </c>
      <c r="O86" s="29">
        <v>0</v>
      </c>
      <c r="P86" s="28"/>
      <c r="Q86" s="29">
        <v>0</v>
      </c>
      <c r="R86" s="30"/>
      <c r="S86" s="96"/>
      <c r="T86" s="64"/>
      <c r="U86" s="65"/>
      <c r="V86" s="97"/>
      <c r="W86" s="66"/>
      <c r="X86" s="63"/>
      <c r="Y86" s="64"/>
      <c r="Z86" s="65"/>
      <c r="AA86" s="64"/>
      <c r="AB86" s="66"/>
      <c r="AC86" s="89">
        <f t="shared" si="128"/>
        <v>0</v>
      </c>
      <c r="AD86" s="29">
        <f t="shared" si="129"/>
        <v>0</v>
      </c>
      <c r="AE86" s="28"/>
      <c r="AF86" s="58">
        <f t="shared" si="131"/>
        <v>0</v>
      </c>
      <c r="AG86" s="30"/>
      <c r="AH86" s="4"/>
    </row>
    <row r="87" spans="1:35" ht="25.5" customHeight="1" thickBot="1" x14ac:dyDescent="0.35">
      <c r="A87" s="51"/>
      <c r="B87" s="57"/>
      <c r="C87" s="78" t="s">
        <v>130</v>
      </c>
      <c r="D87" s="24"/>
      <c r="E87" s="25"/>
      <c r="F87" s="26"/>
      <c r="G87" s="25"/>
      <c r="H87" s="27"/>
      <c r="I87" s="31"/>
      <c r="J87" s="29"/>
      <c r="K87" s="28"/>
      <c r="L87" s="29"/>
      <c r="M87" s="30"/>
      <c r="N87" s="31"/>
      <c r="O87" s="29"/>
      <c r="P87" s="28"/>
      <c r="Q87" s="29"/>
      <c r="R87" s="30"/>
      <c r="S87" s="129">
        <f>SUM(S84:S86)</f>
        <v>10</v>
      </c>
      <c r="T87" s="129">
        <f>SUM(T84:T86)</f>
        <v>0</v>
      </c>
      <c r="U87" s="167">
        <f>T87*100/S87</f>
        <v>0</v>
      </c>
      <c r="V87" s="129">
        <f>SUM(V84:V86)</f>
        <v>0</v>
      </c>
      <c r="W87" s="167">
        <f>V87*100/S87</f>
        <v>0</v>
      </c>
      <c r="X87" s="129">
        <f t="shared" ref="X87:Y87" si="133">SUM(X84:X86)</f>
        <v>0</v>
      </c>
      <c r="Y87" s="129">
        <f t="shared" si="133"/>
        <v>0</v>
      </c>
      <c r="Z87" s="167"/>
      <c r="AA87" s="129">
        <f>SUM(AA84:AA86)</f>
        <v>0</v>
      </c>
      <c r="AB87" s="167"/>
      <c r="AC87" s="129">
        <f>SUM(AC84:AC86)</f>
        <v>10</v>
      </c>
      <c r="AD87" s="129">
        <f>SUM(AD84:AD86)</f>
        <v>0</v>
      </c>
      <c r="AE87" s="167">
        <f>AD87*100/AC87</f>
        <v>0</v>
      </c>
      <c r="AF87" s="129">
        <f>SUM(AF84:AF86)</f>
        <v>0</v>
      </c>
      <c r="AG87" s="167">
        <f>AF87*100/AC87</f>
        <v>0</v>
      </c>
      <c r="AH87" s="4"/>
    </row>
    <row r="88" spans="1:35" ht="82.5" customHeight="1" thickBot="1" x14ac:dyDescent="0.35">
      <c r="A88" s="51">
        <v>30</v>
      </c>
      <c r="B88" s="57" t="s">
        <v>100</v>
      </c>
      <c r="C88" s="50" t="s">
        <v>36</v>
      </c>
      <c r="D88" s="24">
        <v>0</v>
      </c>
      <c r="E88" s="25">
        <v>0</v>
      </c>
      <c r="F88" s="26"/>
      <c r="G88" s="25">
        <v>0</v>
      </c>
      <c r="H88" s="27"/>
      <c r="I88" s="31">
        <v>0</v>
      </c>
      <c r="J88" s="29">
        <v>0</v>
      </c>
      <c r="K88" s="28"/>
      <c r="L88" s="29">
        <v>0</v>
      </c>
      <c r="M88" s="30"/>
      <c r="N88" s="31">
        <v>0</v>
      </c>
      <c r="O88" s="29">
        <v>0</v>
      </c>
      <c r="P88" s="28"/>
      <c r="Q88" s="29">
        <v>0</v>
      </c>
      <c r="R88" s="30"/>
      <c r="S88" s="109"/>
      <c r="T88" s="70"/>
      <c r="U88" s="71"/>
      <c r="V88" s="69"/>
      <c r="W88" s="73"/>
      <c r="X88" s="110"/>
      <c r="Y88" s="70"/>
      <c r="Z88" s="28"/>
      <c r="AA88" s="70"/>
      <c r="AB88" s="30"/>
      <c r="AC88" s="89">
        <f t="shared" ref="AC88:AC98" si="134">X88+S88</f>
        <v>0</v>
      </c>
      <c r="AD88" s="29">
        <f t="shared" ref="AD88:AD98" si="135">Y88+T88</f>
        <v>0</v>
      </c>
      <c r="AE88" s="28"/>
      <c r="AF88" s="58">
        <f t="shared" ref="AF88:AF98" si="136">AA88+V88</f>
        <v>0</v>
      </c>
      <c r="AG88" s="30"/>
      <c r="AH88" s="4"/>
      <c r="AI88" s="4"/>
    </row>
    <row r="89" spans="1:35" ht="63.75" thickBot="1" x14ac:dyDescent="0.35">
      <c r="A89" s="10">
        <v>60</v>
      </c>
      <c r="B89" s="57" t="s">
        <v>100</v>
      </c>
      <c r="C89" s="11" t="s">
        <v>66</v>
      </c>
      <c r="D89" s="20">
        <v>4</v>
      </c>
      <c r="E89" s="21">
        <v>4</v>
      </c>
      <c r="F89" s="22">
        <f t="shared" si="50"/>
        <v>100</v>
      </c>
      <c r="G89" s="21">
        <v>0</v>
      </c>
      <c r="H89" s="23">
        <f t="shared" si="51"/>
        <v>0</v>
      </c>
      <c r="I89" s="20">
        <v>3</v>
      </c>
      <c r="J89" s="21">
        <v>0</v>
      </c>
      <c r="K89" s="22">
        <f t="shared" si="52"/>
        <v>0</v>
      </c>
      <c r="L89" s="21">
        <v>3</v>
      </c>
      <c r="M89" s="23">
        <f t="shared" si="53"/>
        <v>100</v>
      </c>
      <c r="N89" s="20">
        <v>7</v>
      </c>
      <c r="O89" s="21">
        <v>7</v>
      </c>
      <c r="P89" s="22">
        <f t="shared" si="54"/>
        <v>100</v>
      </c>
      <c r="Q89" s="21">
        <v>0</v>
      </c>
      <c r="R89" s="23">
        <f t="shared" si="39"/>
        <v>0</v>
      </c>
      <c r="S89" s="90">
        <f>4+3+7</f>
        <v>14</v>
      </c>
      <c r="T89" s="21">
        <f>4+3+7</f>
        <v>14</v>
      </c>
      <c r="U89" s="22">
        <f t="shared" ref="U89:U98" si="137">T89*100/S89</f>
        <v>100</v>
      </c>
      <c r="V89" s="92"/>
      <c r="W89" s="23">
        <f t="shared" ref="W89:W98" si="138">V89*100/S89</f>
        <v>0</v>
      </c>
      <c r="X89" s="20">
        <v>5</v>
      </c>
      <c r="Y89" s="21">
        <v>5</v>
      </c>
      <c r="Z89" s="22">
        <f t="shared" ref="Z89:Z98" si="139">Y89*100/X89</f>
        <v>100</v>
      </c>
      <c r="AA89" s="21"/>
      <c r="AB89" s="23">
        <f t="shared" ref="AB89:AB98" si="140">AA89*100/X89</f>
        <v>0</v>
      </c>
      <c r="AC89" s="90">
        <f t="shared" si="134"/>
        <v>19</v>
      </c>
      <c r="AD89" s="21">
        <f t="shared" si="135"/>
        <v>19</v>
      </c>
      <c r="AE89" s="22">
        <f t="shared" ref="AE89:AE98" si="141">AD89*100/AC89</f>
        <v>100</v>
      </c>
      <c r="AF89" s="92">
        <f t="shared" si="136"/>
        <v>0</v>
      </c>
      <c r="AG89" s="23">
        <f t="shared" ref="AG89:AG98" si="142">AF89*100/AC89</f>
        <v>0</v>
      </c>
    </row>
    <row r="90" spans="1:35" ht="32.25" thickBot="1" x14ac:dyDescent="0.35">
      <c r="A90" s="51">
        <v>61</v>
      </c>
      <c r="B90" s="57" t="s">
        <v>100</v>
      </c>
      <c r="C90" s="50" t="s">
        <v>67</v>
      </c>
      <c r="D90" s="24">
        <v>16</v>
      </c>
      <c r="E90" s="25">
        <v>0</v>
      </c>
      <c r="F90" s="26">
        <f t="shared" si="50"/>
        <v>0</v>
      </c>
      <c r="G90" s="25">
        <v>0</v>
      </c>
      <c r="H90" s="27">
        <f t="shared" si="51"/>
        <v>0</v>
      </c>
      <c r="I90" s="31">
        <v>23</v>
      </c>
      <c r="J90" s="29">
        <v>0</v>
      </c>
      <c r="K90" s="28">
        <f t="shared" si="52"/>
        <v>0</v>
      </c>
      <c r="L90" s="29">
        <v>0</v>
      </c>
      <c r="M90" s="30">
        <f t="shared" si="53"/>
        <v>0</v>
      </c>
      <c r="N90" s="31">
        <v>17</v>
      </c>
      <c r="O90" s="29">
        <v>0</v>
      </c>
      <c r="P90" s="28">
        <f t="shared" si="54"/>
        <v>0</v>
      </c>
      <c r="Q90" s="29">
        <v>0</v>
      </c>
      <c r="R90" s="30">
        <f t="shared" si="39"/>
        <v>0</v>
      </c>
      <c r="S90" s="89">
        <f>16+23+17</f>
        <v>56</v>
      </c>
      <c r="T90" s="29"/>
      <c r="U90" s="28">
        <f t="shared" si="137"/>
        <v>0</v>
      </c>
      <c r="V90" s="58"/>
      <c r="W90" s="30">
        <f t="shared" si="138"/>
        <v>0</v>
      </c>
      <c r="X90" s="31">
        <v>17</v>
      </c>
      <c r="Y90" s="29"/>
      <c r="Z90" s="28">
        <f t="shared" si="139"/>
        <v>0</v>
      </c>
      <c r="AA90" s="29"/>
      <c r="AB90" s="30">
        <f t="shared" si="140"/>
        <v>0</v>
      </c>
      <c r="AC90" s="89">
        <f t="shared" si="134"/>
        <v>73</v>
      </c>
      <c r="AD90" s="29">
        <f t="shared" si="135"/>
        <v>0</v>
      </c>
      <c r="AE90" s="28">
        <f t="shared" si="141"/>
        <v>0</v>
      </c>
      <c r="AF90" s="58">
        <f t="shared" si="136"/>
        <v>0</v>
      </c>
      <c r="AG90" s="30">
        <f t="shared" si="142"/>
        <v>0</v>
      </c>
      <c r="AH90" s="4"/>
      <c r="AI90" s="4"/>
    </row>
    <row r="91" spans="1:35" ht="33" customHeight="1" thickBot="1" x14ac:dyDescent="0.35">
      <c r="A91" s="51">
        <v>62</v>
      </c>
      <c r="B91" s="57" t="s">
        <v>100</v>
      </c>
      <c r="C91" s="50" t="s">
        <v>68</v>
      </c>
      <c r="D91" s="24">
        <v>1</v>
      </c>
      <c r="E91" s="25">
        <v>0</v>
      </c>
      <c r="F91" s="26">
        <f t="shared" si="50"/>
        <v>0</v>
      </c>
      <c r="G91" s="25">
        <v>0</v>
      </c>
      <c r="H91" s="27">
        <f t="shared" si="51"/>
        <v>0</v>
      </c>
      <c r="I91" s="31">
        <v>4</v>
      </c>
      <c r="J91" s="29">
        <v>0</v>
      </c>
      <c r="K91" s="28">
        <f t="shared" si="52"/>
        <v>0</v>
      </c>
      <c r="L91" s="29">
        <v>0</v>
      </c>
      <c r="M91" s="30">
        <f t="shared" si="53"/>
        <v>0</v>
      </c>
      <c r="N91" s="31">
        <v>0</v>
      </c>
      <c r="O91" s="29">
        <v>0</v>
      </c>
      <c r="P91" s="28"/>
      <c r="Q91" s="29">
        <v>0</v>
      </c>
      <c r="R91" s="30"/>
      <c r="S91" s="89">
        <f>1+4+0</f>
        <v>5</v>
      </c>
      <c r="T91" s="29"/>
      <c r="U91" s="28">
        <f t="shared" si="137"/>
        <v>0</v>
      </c>
      <c r="V91" s="58"/>
      <c r="W91" s="30">
        <f t="shared" si="138"/>
        <v>0</v>
      </c>
      <c r="X91" s="31"/>
      <c r="Y91" s="29"/>
      <c r="Z91" s="28"/>
      <c r="AA91" s="29"/>
      <c r="AB91" s="30"/>
      <c r="AC91" s="89">
        <f t="shared" si="134"/>
        <v>5</v>
      </c>
      <c r="AD91" s="29">
        <f t="shared" si="135"/>
        <v>0</v>
      </c>
      <c r="AE91" s="28">
        <f t="shared" si="141"/>
        <v>0</v>
      </c>
      <c r="AF91" s="58">
        <f t="shared" si="136"/>
        <v>0</v>
      </c>
      <c r="AG91" s="30">
        <f t="shared" si="142"/>
        <v>0</v>
      </c>
      <c r="AH91" s="4"/>
      <c r="AI91" s="4"/>
    </row>
    <row r="92" spans="1:35" ht="47.25" customHeight="1" thickBot="1" x14ac:dyDescent="0.35">
      <c r="A92" s="51">
        <v>63</v>
      </c>
      <c r="B92" s="57" t="s">
        <v>100</v>
      </c>
      <c r="C92" s="50" t="s">
        <v>69</v>
      </c>
      <c r="D92" s="24">
        <v>0</v>
      </c>
      <c r="E92" s="25">
        <v>0</v>
      </c>
      <c r="F92" s="26"/>
      <c r="G92" s="25">
        <v>0</v>
      </c>
      <c r="H92" s="27"/>
      <c r="I92" s="31">
        <v>0</v>
      </c>
      <c r="J92" s="29">
        <v>0</v>
      </c>
      <c r="K92" s="28"/>
      <c r="L92" s="29">
        <v>0</v>
      </c>
      <c r="M92" s="30"/>
      <c r="N92" s="31">
        <v>0</v>
      </c>
      <c r="O92" s="29">
        <v>0</v>
      </c>
      <c r="P92" s="28"/>
      <c r="Q92" s="29">
        <v>0</v>
      </c>
      <c r="R92" s="30"/>
      <c r="S92" s="89">
        <f>4+0+10</f>
        <v>14</v>
      </c>
      <c r="T92" s="29"/>
      <c r="U92" s="28">
        <f t="shared" si="137"/>
        <v>0</v>
      </c>
      <c r="V92" s="58"/>
      <c r="W92" s="30">
        <f t="shared" si="138"/>
        <v>0</v>
      </c>
      <c r="X92" s="31"/>
      <c r="Y92" s="29"/>
      <c r="Z92" s="28"/>
      <c r="AA92" s="29"/>
      <c r="AB92" s="30"/>
      <c r="AC92" s="89">
        <f t="shared" si="134"/>
        <v>14</v>
      </c>
      <c r="AD92" s="29">
        <f t="shared" si="135"/>
        <v>0</v>
      </c>
      <c r="AE92" s="28">
        <f t="shared" si="141"/>
        <v>0</v>
      </c>
      <c r="AF92" s="58">
        <f t="shared" si="136"/>
        <v>0</v>
      </c>
      <c r="AG92" s="30">
        <f t="shared" si="142"/>
        <v>0</v>
      </c>
      <c r="AH92" s="4"/>
      <c r="AI92" s="4"/>
    </row>
    <row r="93" spans="1:35" ht="22.5" customHeight="1" thickBot="1" x14ac:dyDescent="0.35">
      <c r="A93" s="51">
        <v>64</v>
      </c>
      <c r="B93" s="57" t="s">
        <v>100</v>
      </c>
      <c r="C93" s="50" t="s">
        <v>70</v>
      </c>
      <c r="D93" s="24">
        <v>4</v>
      </c>
      <c r="E93" s="25">
        <v>0</v>
      </c>
      <c r="F93" s="26">
        <f t="shared" si="50"/>
        <v>0</v>
      </c>
      <c r="G93" s="25">
        <v>0</v>
      </c>
      <c r="H93" s="27">
        <f t="shared" si="51"/>
        <v>0</v>
      </c>
      <c r="I93" s="31">
        <v>4</v>
      </c>
      <c r="J93" s="29">
        <v>0</v>
      </c>
      <c r="K93" s="28">
        <f t="shared" si="52"/>
        <v>0</v>
      </c>
      <c r="L93" s="29">
        <v>0</v>
      </c>
      <c r="M93" s="30">
        <f t="shared" si="53"/>
        <v>0</v>
      </c>
      <c r="N93" s="31">
        <v>10</v>
      </c>
      <c r="O93" s="29">
        <v>0</v>
      </c>
      <c r="P93" s="28">
        <f t="shared" si="54"/>
        <v>0</v>
      </c>
      <c r="Q93" s="29">
        <v>0</v>
      </c>
      <c r="R93" s="30">
        <f t="shared" si="39"/>
        <v>0</v>
      </c>
      <c r="S93" s="89"/>
      <c r="T93" s="29"/>
      <c r="U93" s="28"/>
      <c r="V93" s="58"/>
      <c r="W93" s="30"/>
      <c r="X93" s="31">
        <v>10</v>
      </c>
      <c r="Y93" s="29"/>
      <c r="Z93" s="28">
        <f t="shared" si="139"/>
        <v>0</v>
      </c>
      <c r="AA93" s="29"/>
      <c r="AB93" s="30">
        <f t="shared" si="140"/>
        <v>0</v>
      </c>
      <c r="AC93" s="89">
        <f t="shared" si="134"/>
        <v>10</v>
      </c>
      <c r="AD93" s="29">
        <f t="shared" si="135"/>
        <v>0</v>
      </c>
      <c r="AE93" s="28">
        <f t="shared" si="141"/>
        <v>0</v>
      </c>
      <c r="AF93" s="58">
        <f t="shared" si="136"/>
        <v>0</v>
      </c>
      <c r="AG93" s="30">
        <f t="shared" si="142"/>
        <v>0</v>
      </c>
      <c r="AH93" s="4"/>
      <c r="AI93" s="4"/>
    </row>
    <row r="94" spans="1:35" ht="32.25" thickBot="1" x14ac:dyDescent="0.35">
      <c r="A94" s="51">
        <v>65</v>
      </c>
      <c r="B94" s="57" t="s">
        <v>100</v>
      </c>
      <c r="C94" s="50" t="s">
        <v>71</v>
      </c>
      <c r="D94" s="24">
        <v>0</v>
      </c>
      <c r="E94" s="25">
        <v>0</v>
      </c>
      <c r="F94" s="26"/>
      <c r="G94" s="25">
        <v>0</v>
      </c>
      <c r="H94" s="27"/>
      <c r="I94" s="31">
        <v>0</v>
      </c>
      <c r="J94" s="29">
        <v>0</v>
      </c>
      <c r="K94" s="28"/>
      <c r="L94" s="29">
        <v>0</v>
      </c>
      <c r="M94" s="30"/>
      <c r="N94" s="31">
        <v>0</v>
      </c>
      <c r="O94" s="29">
        <v>0</v>
      </c>
      <c r="P94" s="28"/>
      <c r="Q94" s="29">
        <v>0</v>
      </c>
      <c r="R94" s="30"/>
      <c r="S94" s="89"/>
      <c r="T94" s="29"/>
      <c r="U94" s="28"/>
      <c r="V94" s="58"/>
      <c r="W94" s="30"/>
      <c r="X94" s="31"/>
      <c r="Y94" s="29"/>
      <c r="Z94" s="28"/>
      <c r="AA94" s="29"/>
      <c r="AB94" s="30"/>
      <c r="AC94" s="89">
        <f t="shared" si="134"/>
        <v>0</v>
      </c>
      <c r="AD94" s="29">
        <f t="shared" si="135"/>
        <v>0</v>
      </c>
      <c r="AE94" s="28"/>
      <c r="AF94" s="58">
        <f t="shared" si="136"/>
        <v>0</v>
      </c>
      <c r="AG94" s="30"/>
      <c r="AH94" s="4"/>
      <c r="AI94" s="4"/>
    </row>
    <row r="95" spans="1:35" ht="63.75" thickBot="1" x14ac:dyDescent="0.35">
      <c r="A95" s="51">
        <v>66</v>
      </c>
      <c r="B95" s="57" t="s">
        <v>100</v>
      </c>
      <c r="C95" s="50" t="s">
        <v>72</v>
      </c>
      <c r="D95" s="24">
        <v>0</v>
      </c>
      <c r="E95" s="25">
        <v>0</v>
      </c>
      <c r="F95" s="26"/>
      <c r="G95" s="25">
        <v>0</v>
      </c>
      <c r="H95" s="30"/>
      <c r="I95" s="31">
        <v>0</v>
      </c>
      <c r="J95" s="29">
        <v>0</v>
      </c>
      <c r="K95" s="28"/>
      <c r="L95" s="29">
        <v>0</v>
      </c>
      <c r="M95" s="30"/>
      <c r="N95" s="31">
        <v>0</v>
      </c>
      <c r="O95" s="29">
        <v>0</v>
      </c>
      <c r="P95" s="28"/>
      <c r="Q95" s="29">
        <v>0</v>
      </c>
      <c r="R95" s="30"/>
      <c r="S95" s="89"/>
      <c r="T95" s="29"/>
      <c r="U95" s="28"/>
      <c r="V95" s="58"/>
      <c r="W95" s="30"/>
      <c r="X95" s="31"/>
      <c r="Y95" s="29"/>
      <c r="Z95" s="28"/>
      <c r="AA95" s="29"/>
      <c r="AB95" s="30"/>
      <c r="AC95" s="89">
        <f t="shared" si="134"/>
        <v>0</v>
      </c>
      <c r="AD95" s="29">
        <f t="shared" si="135"/>
        <v>0</v>
      </c>
      <c r="AE95" s="28"/>
      <c r="AF95" s="58">
        <f t="shared" si="136"/>
        <v>0</v>
      </c>
      <c r="AG95" s="30"/>
      <c r="AH95" s="4"/>
      <c r="AI95" s="4"/>
    </row>
    <row r="96" spans="1:35" ht="158.25" thickBot="1" x14ac:dyDescent="0.35">
      <c r="A96" s="51">
        <v>67</v>
      </c>
      <c r="B96" s="57" t="s">
        <v>100</v>
      </c>
      <c r="C96" s="50" t="s">
        <v>73</v>
      </c>
      <c r="D96" s="24">
        <v>0</v>
      </c>
      <c r="E96" s="25">
        <v>0</v>
      </c>
      <c r="F96" s="26"/>
      <c r="G96" s="25">
        <v>0</v>
      </c>
      <c r="H96" s="30"/>
      <c r="I96" s="31">
        <v>3</v>
      </c>
      <c r="J96" s="29">
        <v>0</v>
      </c>
      <c r="K96" s="28">
        <f t="shared" ref="K96:K102" si="143">J96*100/I96</f>
        <v>0</v>
      </c>
      <c r="L96" s="29">
        <v>0</v>
      </c>
      <c r="M96" s="30">
        <f t="shared" ref="M96:M102" si="144">L96*100/I96</f>
        <v>0</v>
      </c>
      <c r="N96" s="31">
        <v>3</v>
      </c>
      <c r="O96" s="29">
        <v>0</v>
      </c>
      <c r="P96" s="28">
        <f t="shared" ref="P96:P102" si="145">O96*100/N96</f>
        <v>0</v>
      </c>
      <c r="Q96" s="29">
        <v>0</v>
      </c>
      <c r="R96" s="30">
        <f t="shared" ref="R96:R102" si="146">Q96*100/N96</f>
        <v>0</v>
      </c>
      <c r="S96" s="89">
        <f>3+0+3</f>
        <v>6</v>
      </c>
      <c r="T96" s="29"/>
      <c r="U96" s="28">
        <f t="shared" si="137"/>
        <v>0</v>
      </c>
      <c r="V96" s="58"/>
      <c r="W96" s="30">
        <f t="shared" si="138"/>
        <v>0</v>
      </c>
      <c r="X96" s="31"/>
      <c r="Y96" s="29"/>
      <c r="Z96" s="28"/>
      <c r="AA96" s="29"/>
      <c r="AB96" s="30"/>
      <c r="AC96" s="89">
        <f t="shared" si="134"/>
        <v>6</v>
      </c>
      <c r="AD96" s="29">
        <f t="shared" si="135"/>
        <v>0</v>
      </c>
      <c r="AE96" s="28">
        <f t="shared" si="141"/>
        <v>0</v>
      </c>
      <c r="AF96" s="58">
        <f t="shared" si="136"/>
        <v>0</v>
      </c>
      <c r="AG96" s="30">
        <f t="shared" si="142"/>
        <v>0</v>
      </c>
      <c r="AH96" s="4"/>
      <c r="AI96" s="4"/>
    </row>
    <row r="97" spans="1:33" ht="21" thickBot="1" x14ac:dyDescent="0.35">
      <c r="A97" s="51">
        <v>68</v>
      </c>
      <c r="B97" s="57" t="s">
        <v>100</v>
      </c>
      <c r="C97" s="50" t="s">
        <v>74</v>
      </c>
      <c r="D97" s="24">
        <v>10</v>
      </c>
      <c r="E97" s="25">
        <v>0</v>
      </c>
      <c r="F97" s="26">
        <f t="shared" ref="F97:F102" si="147">E97*100/D97</f>
        <v>0</v>
      </c>
      <c r="G97" s="25">
        <v>0</v>
      </c>
      <c r="H97" s="30">
        <f t="shared" ref="H97:H102" si="148">G97*100/D97</f>
        <v>0</v>
      </c>
      <c r="I97" s="31">
        <v>8</v>
      </c>
      <c r="J97" s="29">
        <v>0</v>
      </c>
      <c r="K97" s="28">
        <f t="shared" si="143"/>
        <v>0</v>
      </c>
      <c r="L97" s="29">
        <v>0</v>
      </c>
      <c r="M97" s="30">
        <f t="shared" si="144"/>
        <v>0</v>
      </c>
      <c r="N97" s="31">
        <v>28</v>
      </c>
      <c r="O97" s="29">
        <v>0</v>
      </c>
      <c r="P97" s="28">
        <f t="shared" si="145"/>
        <v>0</v>
      </c>
      <c r="Q97" s="29">
        <v>0</v>
      </c>
      <c r="R97" s="30">
        <f t="shared" si="146"/>
        <v>0</v>
      </c>
      <c r="S97" s="89">
        <f>10+8+28</f>
        <v>46</v>
      </c>
      <c r="T97" s="29"/>
      <c r="U97" s="28">
        <f t="shared" si="137"/>
        <v>0</v>
      </c>
      <c r="V97" s="58"/>
      <c r="W97" s="30">
        <f t="shared" si="138"/>
        <v>0</v>
      </c>
      <c r="X97" s="31"/>
      <c r="Y97" s="25"/>
      <c r="Z97" s="28"/>
      <c r="AA97" s="29"/>
      <c r="AB97" s="30"/>
      <c r="AC97" s="89">
        <f t="shared" si="134"/>
        <v>46</v>
      </c>
      <c r="AD97" s="29">
        <f t="shared" si="135"/>
        <v>0</v>
      </c>
      <c r="AE97" s="28">
        <f t="shared" si="141"/>
        <v>0</v>
      </c>
      <c r="AF97" s="58">
        <f t="shared" si="136"/>
        <v>0</v>
      </c>
      <c r="AG97" s="30">
        <f t="shared" si="142"/>
        <v>0</v>
      </c>
    </row>
    <row r="98" spans="1:33" ht="65.099999999999994" customHeight="1" thickBot="1" x14ac:dyDescent="0.35">
      <c r="A98" s="10">
        <v>69</v>
      </c>
      <c r="B98" s="57" t="s">
        <v>100</v>
      </c>
      <c r="C98" s="11" t="s">
        <v>75</v>
      </c>
      <c r="D98" s="20">
        <v>42</v>
      </c>
      <c r="E98" s="21">
        <v>37</v>
      </c>
      <c r="F98" s="22">
        <f t="shared" si="147"/>
        <v>88.095238095238102</v>
      </c>
      <c r="G98" s="21">
        <v>0</v>
      </c>
      <c r="H98" s="23">
        <f t="shared" si="148"/>
        <v>0</v>
      </c>
      <c r="I98" s="20">
        <v>127</v>
      </c>
      <c r="J98" s="21">
        <v>127</v>
      </c>
      <c r="K98" s="22">
        <f t="shared" si="143"/>
        <v>100</v>
      </c>
      <c r="L98" s="21">
        <v>0</v>
      </c>
      <c r="M98" s="23">
        <f t="shared" si="144"/>
        <v>0</v>
      </c>
      <c r="N98" s="20">
        <v>42</v>
      </c>
      <c r="O98" s="21">
        <v>42</v>
      </c>
      <c r="P98" s="22">
        <f t="shared" si="145"/>
        <v>100</v>
      </c>
      <c r="Q98" s="21">
        <v>0</v>
      </c>
      <c r="R98" s="23">
        <f t="shared" si="146"/>
        <v>0</v>
      </c>
      <c r="S98" s="123">
        <f>42+127+42</f>
        <v>211</v>
      </c>
      <c r="T98" s="124">
        <f>37+127+42</f>
        <v>206</v>
      </c>
      <c r="U98" s="22">
        <f t="shared" si="137"/>
        <v>97.630331753554501</v>
      </c>
      <c r="V98" s="126"/>
      <c r="W98" s="23">
        <f t="shared" si="138"/>
        <v>0</v>
      </c>
      <c r="X98" s="128">
        <v>27</v>
      </c>
      <c r="Y98" s="124">
        <v>27</v>
      </c>
      <c r="Z98" s="22">
        <f t="shared" si="139"/>
        <v>100</v>
      </c>
      <c r="AA98" s="124"/>
      <c r="AB98" s="23">
        <f t="shared" si="140"/>
        <v>0</v>
      </c>
      <c r="AC98" s="90">
        <f t="shared" si="134"/>
        <v>238</v>
      </c>
      <c r="AD98" s="21">
        <f t="shared" si="135"/>
        <v>233</v>
      </c>
      <c r="AE98" s="22">
        <f t="shared" si="141"/>
        <v>97.899159663865547</v>
      </c>
      <c r="AF98" s="92">
        <f t="shared" si="136"/>
        <v>0</v>
      </c>
      <c r="AG98" s="23">
        <f t="shared" si="142"/>
        <v>0</v>
      </c>
    </row>
    <row r="99" spans="1:33" s="4" customFormat="1" ht="24" customHeight="1" thickBot="1" x14ac:dyDescent="0.35">
      <c r="A99" s="57"/>
      <c r="B99" s="57"/>
      <c r="C99" s="134" t="s">
        <v>131</v>
      </c>
      <c r="D99" s="31"/>
      <c r="E99" s="29"/>
      <c r="F99" s="28"/>
      <c r="G99" s="29"/>
      <c r="H99" s="30"/>
      <c r="I99" s="31"/>
      <c r="J99" s="29"/>
      <c r="K99" s="28"/>
      <c r="L99" s="29"/>
      <c r="M99" s="30"/>
      <c r="N99" s="31"/>
      <c r="O99" s="29"/>
      <c r="P99" s="28"/>
      <c r="Q99" s="29"/>
      <c r="R99" s="30"/>
      <c r="S99" s="165">
        <f>SUM(S88:S98)</f>
        <v>352</v>
      </c>
      <c r="T99" s="165">
        <f>SUM(T88:T98)</f>
        <v>220</v>
      </c>
      <c r="U99" s="167">
        <f>T99*100/(S89+S98)</f>
        <v>97.777777777777771</v>
      </c>
      <c r="V99" s="165">
        <f>SUM(V88:V98)</f>
        <v>0</v>
      </c>
      <c r="W99" s="167">
        <f>V99*100/S99</f>
        <v>0</v>
      </c>
      <c r="X99" s="165">
        <f t="shared" ref="X99:Y99" si="149">SUM(X88:X98)</f>
        <v>59</v>
      </c>
      <c r="Y99" s="165">
        <f t="shared" si="149"/>
        <v>32</v>
      </c>
      <c r="Z99" s="167">
        <f>Y99*100/(X89+X98)</f>
        <v>100</v>
      </c>
      <c r="AA99" s="165">
        <f>SUM(AA88:AA98)</f>
        <v>0</v>
      </c>
      <c r="AB99" s="167">
        <f>AA99*100/X99</f>
        <v>0</v>
      </c>
      <c r="AC99" s="165">
        <f t="shared" ref="AC99" si="150">SUM(AC88:AC98)</f>
        <v>411</v>
      </c>
      <c r="AD99" s="165">
        <f t="shared" ref="AD99" si="151">SUM(AD88:AD98)</f>
        <v>252</v>
      </c>
      <c r="AE99" s="167">
        <f>AD99*100/(AC89+AC98)</f>
        <v>98.054474708171213</v>
      </c>
      <c r="AF99" s="165">
        <f>SUM(AF88:AF98)</f>
        <v>0</v>
      </c>
      <c r="AG99" s="167">
        <f>AF99*100/AC99</f>
        <v>0</v>
      </c>
    </row>
    <row r="100" spans="1:33" ht="48" thickBot="1" x14ac:dyDescent="0.35">
      <c r="A100" s="145">
        <v>70</v>
      </c>
      <c r="B100" s="145" t="s">
        <v>102</v>
      </c>
      <c r="C100" s="146" t="s">
        <v>76</v>
      </c>
      <c r="D100" s="147">
        <v>22</v>
      </c>
      <c r="E100" s="148">
        <v>0</v>
      </c>
      <c r="F100" s="149">
        <f t="shared" si="147"/>
        <v>0</v>
      </c>
      <c r="G100" s="148">
        <v>1</v>
      </c>
      <c r="H100" s="150">
        <f t="shared" si="148"/>
        <v>4.5454545454545459</v>
      </c>
      <c r="I100" s="151"/>
      <c r="J100" s="152"/>
      <c r="K100" s="152"/>
      <c r="L100" s="152"/>
      <c r="M100" s="153"/>
      <c r="N100" s="151"/>
      <c r="O100" s="152"/>
      <c r="P100" s="152"/>
      <c r="Q100" s="152"/>
      <c r="R100" s="153"/>
      <c r="S100" s="154">
        <v>22</v>
      </c>
      <c r="T100" s="155"/>
      <c r="U100" s="156"/>
      <c r="V100" s="157"/>
      <c r="W100" s="158"/>
      <c r="X100" s="159"/>
      <c r="Y100" s="160"/>
      <c r="Z100" s="160"/>
      <c r="AA100" s="160"/>
      <c r="AB100" s="161"/>
      <c r="AC100" s="154"/>
      <c r="AD100" s="155"/>
      <c r="AE100" s="156"/>
      <c r="AF100" s="157"/>
      <c r="AG100" s="158"/>
    </row>
    <row r="101" spans="1:33" ht="48" thickBot="1" x14ac:dyDescent="0.35">
      <c r="A101" s="10">
        <v>71</v>
      </c>
      <c r="B101" s="57" t="s">
        <v>102</v>
      </c>
      <c r="C101" s="11" t="s">
        <v>133</v>
      </c>
      <c r="D101" s="20">
        <v>36</v>
      </c>
      <c r="E101" s="21">
        <v>2</v>
      </c>
      <c r="F101" s="22">
        <f t="shared" si="147"/>
        <v>5.5555555555555554</v>
      </c>
      <c r="G101" s="21">
        <v>1</v>
      </c>
      <c r="H101" s="23">
        <f t="shared" si="148"/>
        <v>2.7777777777777777</v>
      </c>
      <c r="I101" s="20">
        <v>81</v>
      </c>
      <c r="J101" s="21">
        <v>4</v>
      </c>
      <c r="K101" s="22">
        <f t="shared" si="143"/>
        <v>4.9382716049382713</v>
      </c>
      <c r="L101" s="21">
        <v>6</v>
      </c>
      <c r="M101" s="23">
        <f t="shared" si="144"/>
        <v>7.4074074074074074</v>
      </c>
      <c r="N101" s="20">
        <v>50</v>
      </c>
      <c r="O101" s="21">
        <v>6</v>
      </c>
      <c r="P101" s="22">
        <f t="shared" si="145"/>
        <v>12</v>
      </c>
      <c r="Q101" s="21">
        <v>3</v>
      </c>
      <c r="R101" s="23">
        <f t="shared" si="146"/>
        <v>6</v>
      </c>
      <c r="S101" s="90">
        <f>36+81+50</f>
        <v>167</v>
      </c>
      <c r="T101" s="21">
        <f>1+2+6</f>
        <v>9</v>
      </c>
      <c r="U101" s="22">
        <f t="shared" ref="U101:U102" si="152">T101*100/S101</f>
        <v>5.3892215568862278</v>
      </c>
      <c r="V101" s="92">
        <f>0+0+3</f>
        <v>3</v>
      </c>
      <c r="W101" s="23">
        <f t="shared" ref="W101:W102" si="153">V101*100/S101</f>
        <v>1.7964071856287425</v>
      </c>
      <c r="X101" s="20">
        <v>2</v>
      </c>
      <c r="Y101" s="21">
        <v>1</v>
      </c>
      <c r="Z101" s="22">
        <f t="shared" ref="Z101:Z102" si="154">Y101*100/X101</f>
        <v>50</v>
      </c>
      <c r="AA101" s="21"/>
      <c r="AB101" s="23">
        <f t="shared" ref="AB101:AB102" si="155">AA101*100/X101</f>
        <v>0</v>
      </c>
      <c r="AC101" s="90">
        <f t="shared" ref="AC101:AC102" si="156">X101+S101</f>
        <v>169</v>
      </c>
      <c r="AD101" s="21">
        <f t="shared" ref="AD101:AD102" si="157">Y101+T101</f>
        <v>10</v>
      </c>
      <c r="AE101" s="22">
        <f t="shared" ref="AE101:AE102" si="158">AD101*100/AC101</f>
        <v>5.9171597633136095</v>
      </c>
      <c r="AF101" s="92">
        <f t="shared" ref="AF101:AF102" si="159">AA101+V101</f>
        <v>3</v>
      </c>
      <c r="AG101" s="23">
        <f t="shared" ref="AG101:AG102" si="160">AF101*100/AC101</f>
        <v>1.7751479289940828</v>
      </c>
    </row>
    <row r="102" spans="1:33" ht="32.25" thickBot="1" x14ac:dyDescent="0.35">
      <c r="A102" s="10">
        <v>72</v>
      </c>
      <c r="B102" s="57" t="s">
        <v>102</v>
      </c>
      <c r="C102" s="11" t="s">
        <v>77</v>
      </c>
      <c r="D102" s="20">
        <v>30</v>
      </c>
      <c r="E102" s="21">
        <v>2</v>
      </c>
      <c r="F102" s="22">
        <f t="shared" si="147"/>
        <v>6.666666666666667</v>
      </c>
      <c r="G102" s="21">
        <v>2</v>
      </c>
      <c r="H102" s="23">
        <f t="shared" si="148"/>
        <v>6.666666666666667</v>
      </c>
      <c r="I102" s="20">
        <v>38</v>
      </c>
      <c r="J102" s="21">
        <v>4</v>
      </c>
      <c r="K102" s="22">
        <f t="shared" si="143"/>
        <v>10.526315789473685</v>
      </c>
      <c r="L102" s="21">
        <v>2</v>
      </c>
      <c r="M102" s="23">
        <f t="shared" si="144"/>
        <v>5.2631578947368425</v>
      </c>
      <c r="N102" s="20">
        <v>44</v>
      </c>
      <c r="O102" s="21">
        <v>8</v>
      </c>
      <c r="P102" s="22">
        <f t="shared" si="145"/>
        <v>18.181818181818183</v>
      </c>
      <c r="Q102" s="21">
        <v>2</v>
      </c>
      <c r="R102" s="23">
        <f t="shared" si="146"/>
        <v>4.5454545454545459</v>
      </c>
      <c r="S102" s="128">
        <f>30+38+44</f>
        <v>112</v>
      </c>
      <c r="T102" s="128">
        <f>2+2+7</f>
        <v>11</v>
      </c>
      <c r="U102" s="22">
        <f t="shared" si="152"/>
        <v>9.8214285714285712</v>
      </c>
      <c r="V102" s="128">
        <f>0+0+2</f>
        <v>2</v>
      </c>
      <c r="W102" s="23">
        <f t="shared" si="153"/>
        <v>1.7857142857142858</v>
      </c>
      <c r="X102" s="128">
        <v>7</v>
      </c>
      <c r="Y102" s="124">
        <v>7</v>
      </c>
      <c r="Z102" s="22">
        <f t="shared" si="154"/>
        <v>100</v>
      </c>
      <c r="AA102" s="124"/>
      <c r="AB102" s="23">
        <f t="shared" si="155"/>
        <v>0</v>
      </c>
      <c r="AC102" s="90">
        <f t="shared" si="156"/>
        <v>119</v>
      </c>
      <c r="AD102" s="21">
        <f t="shared" si="157"/>
        <v>18</v>
      </c>
      <c r="AE102" s="22">
        <f t="shared" si="158"/>
        <v>15.126050420168067</v>
      </c>
      <c r="AF102" s="92">
        <f t="shared" si="159"/>
        <v>2</v>
      </c>
      <c r="AG102" s="23">
        <f t="shared" si="160"/>
        <v>1.680672268907563</v>
      </c>
    </row>
    <row r="103" spans="1:33" s="4" customFormat="1" ht="21" thickBot="1" x14ac:dyDescent="0.35">
      <c r="A103" s="67"/>
      <c r="B103" s="68"/>
      <c r="C103" s="135" t="s">
        <v>132</v>
      </c>
      <c r="D103" s="69"/>
      <c r="E103" s="70"/>
      <c r="F103" s="71"/>
      <c r="G103" s="70"/>
      <c r="H103" s="72"/>
      <c r="I103" s="69"/>
      <c r="J103" s="70"/>
      <c r="K103" s="71"/>
      <c r="L103" s="70"/>
      <c r="M103" s="72"/>
      <c r="N103" s="69"/>
      <c r="O103" s="70"/>
      <c r="P103" s="71"/>
      <c r="Q103" s="70"/>
      <c r="R103" s="72"/>
      <c r="S103" s="165">
        <f>S102+S101</f>
        <v>279</v>
      </c>
      <c r="T103" s="165">
        <f>T102+T101</f>
        <v>20</v>
      </c>
      <c r="U103" s="167">
        <f>T103*100/(S102+S101)</f>
        <v>7.1684587813620073</v>
      </c>
      <c r="V103" s="165">
        <f>V102+V101</f>
        <v>5</v>
      </c>
      <c r="W103" s="167">
        <f>V103*100/S103</f>
        <v>1.7921146953405018</v>
      </c>
      <c r="X103" s="165">
        <f>X102+X101</f>
        <v>9</v>
      </c>
      <c r="Y103" s="165">
        <f>Y102+Y101</f>
        <v>8</v>
      </c>
      <c r="Z103" s="167">
        <f>Y103*100/(X102+X101)</f>
        <v>88.888888888888886</v>
      </c>
      <c r="AA103" s="165">
        <f>AA102+AA101</f>
        <v>0</v>
      </c>
      <c r="AB103" s="167">
        <f>AA103*100/X103</f>
        <v>0</v>
      </c>
      <c r="AC103" s="165">
        <f>AC102+AC101</f>
        <v>288</v>
      </c>
      <c r="AD103" s="165">
        <f>AD102+AD101</f>
        <v>28</v>
      </c>
      <c r="AE103" s="167">
        <f>AD103*100/(AC102+AC101)</f>
        <v>9.7222222222222214</v>
      </c>
      <c r="AF103" s="165">
        <f>AF102+AF101</f>
        <v>5</v>
      </c>
      <c r="AG103" s="167">
        <f>AF103*100/AC103</f>
        <v>1.7361111111111112</v>
      </c>
    </row>
    <row r="104" spans="1:33" ht="20.25" x14ac:dyDescent="0.3">
      <c r="A104" s="13">
        <v>85</v>
      </c>
      <c r="B104" s="142"/>
      <c r="C104" s="15" t="s">
        <v>90</v>
      </c>
      <c r="D104" s="43">
        <f>SUM(D29:D102)</f>
        <v>2908</v>
      </c>
      <c r="E104" s="43">
        <f>SUM(E29:E102)</f>
        <v>648</v>
      </c>
      <c r="F104" s="44">
        <v>18.5</v>
      </c>
      <c r="G104" s="43">
        <f>SUM(G29:G102)</f>
        <v>11</v>
      </c>
      <c r="H104" s="44">
        <f>G104*100/D104</f>
        <v>0.37826685006877581</v>
      </c>
      <c r="I104" s="43">
        <f>SUM(I29:I102)</f>
        <v>3504</v>
      </c>
      <c r="J104" s="43">
        <f>SUM(J29:J102)</f>
        <v>1139</v>
      </c>
      <c r="K104" s="44">
        <v>37.1</v>
      </c>
      <c r="L104" s="43">
        <f>SUM(L29:L102)</f>
        <v>24</v>
      </c>
      <c r="M104" s="44">
        <f>L104*100/I104</f>
        <v>0.68493150684931503</v>
      </c>
      <c r="N104" s="43">
        <f>SUM(N29:N102)</f>
        <v>3075</v>
      </c>
      <c r="O104" s="43">
        <f>SUM(O29:O102)</f>
        <v>878</v>
      </c>
      <c r="P104" s="44">
        <v>30.1</v>
      </c>
      <c r="Q104" s="43">
        <f>SUM(Q29:Q102)</f>
        <v>8</v>
      </c>
      <c r="R104" s="44">
        <f>Q104*100/N104</f>
        <v>0.26016260162601629</v>
      </c>
      <c r="S104" s="44">
        <f>S103+S99+S87+S83+S78+S71+S67+S61+S58+S45+S42+S16+S11</f>
        <v>42537</v>
      </c>
      <c r="T104" s="44">
        <f>T103+T99+T87+T83+T78+T71+T67+T61+T58+T45+T42+T16+T11</f>
        <v>2900</v>
      </c>
      <c r="U104" s="136">
        <f>T104/S105*100</f>
        <v>28.336916161813562</v>
      </c>
      <c r="V104" s="44">
        <f>V103+V99+V87+V83+V78+V71+V67+V61+V58+V45+V42+V16+V11</f>
        <v>27965</v>
      </c>
      <c r="W104" s="44">
        <f>V104*100/S104</f>
        <v>65.742765122128972</v>
      </c>
      <c r="X104" s="44">
        <f>X103+X99+X87+X83+X78+X71+X67+X61+X58+X45+X42+X16+X11</f>
        <v>297098</v>
      </c>
      <c r="Y104" s="44">
        <f>Y103+Y99+Y87+Y83+Y78+Y71+Y67+Y61+Y58+Y45+Y42+Y16+Y11</f>
        <v>1062</v>
      </c>
      <c r="Z104" s="136">
        <f>Y104/X105*100</f>
        <v>40.227272727272727</v>
      </c>
      <c r="AA104" s="44">
        <f>AA103+AA99+AA87+AA83+AA78+AA71+AA67+AA61+AA58+AA45+AA42+AA16+AA11</f>
        <v>293368</v>
      </c>
      <c r="AB104" s="44">
        <f>AA104*100/X104</f>
        <v>98.744522009572606</v>
      </c>
      <c r="AC104" s="44">
        <f>AC103+AC99+AC87+AC83+AC78+AC71+AC67+AC61+AC58+AC45+AC42+AC16+AC11</f>
        <v>339635</v>
      </c>
      <c r="AD104" s="44">
        <f>AD103+AD99+AD87+AD83+AD78+AD71+AD67+AD61+AD58+AD45+AD42+AD16+AD11</f>
        <v>3860</v>
      </c>
      <c r="AE104" s="136">
        <f>AD104/AC105*100</f>
        <v>30.034235916588859</v>
      </c>
      <c r="AF104" s="44">
        <f>AF103+AF99+AF87+AF83+AF78+AF71+AF67+AF61+AF58+AF45+AF42+AF16+AF11</f>
        <v>321333</v>
      </c>
      <c r="AG104" s="44">
        <f>AF104*100/AC104</f>
        <v>94.611273867534265</v>
      </c>
    </row>
    <row r="105" spans="1:33" ht="20.25" x14ac:dyDescent="0.3">
      <c r="A105" s="16">
        <v>86</v>
      </c>
      <c r="B105" s="143"/>
      <c r="C105" s="6" t="s">
        <v>117</v>
      </c>
      <c r="D105" s="46"/>
      <c r="E105" s="236"/>
      <c r="F105" s="236"/>
      <c r="G105" s="236"/>
      <c r="H105" s="46"/>
      <c r="I105" s="236"/>
      <c r="J105" s="236"/>
      <c r="K105" s="236"/>
      <c r="L105" s="46"/>
      <c r="M105" s="25"/>
      <c r="N105" s="25"/>
      <c r="O105" s="25"/>
      <c r="P105" s="25"/>
      <c r="Q105" s="25"/>
      <c r="R105" s="25"/>
      <c r="S105" s="81">
        <f>SUM(S10,S9,S8,S102,S101,S100,S98,S89,S38,S60,S24,S59,S43,S29)</f>
        <v>10234</v>
      </c>
      <c r="T105" s="81">
        <f>SUM(T10,T9,T8,T102,T101,T100,T98,T89,T38,T60,T24,T59,T43,T29)</f>
        <v>2900</v>
      </c>
      <c r="U105" s="52">
        <f>T105/S105*100</f>
        <v>28.336916161813562</v>
      </c>
      <c r="V105" s="81"/>
      <c r="W105" s="25"/>
      <c r="X105" s="81">
        <f>SUM(X10,X9,X8,X102,X101,X100,X98,X89,X38,X60,X24,X59,X43,X29)</f>
        <v>2640</v>
      </c>
      <c r="Y105" s="81">
        <f>SUM(Y10,Y9,Y8,Y102,Y101,Y100,Y98,Y89,Y38,Y60,Y24,Y59,Y43,Y29)</f>
        <v>1062</v>
      </c>
      <c r="Z105" s="52">
        <f>Y105/X105*100</f>
        <v>40.227272727272727</v>
      </c>
      <c r="AA105" s="81"/>
      <c r="AB105" s="25"/>
      <c r="AC105" s="81">
        <f>SUM(AC10,AC9,AC8,AC102,AC101,AC100,AC98,AC89,AC38,AC60,AC24,AC59,AC43,AC29)</f>
        <v>12852</v>
      </c>
      <c r="AD105" s="81">
        <f>SUM(AD10,AD9,AD8,AD102,AD101,AD100,AD98,AD89,AD38,AD60,AD24,AD59,AD43,AD29)</f>
        <v>3860</v>
      </c>
      <c r="AE105" s="52">
        <f>AD105/AC105*100</f>
        <v>30.034235916588859</v>
      </c>
      <c r="AF105" s="81"/>
      <c r="AG105" s="25"/>
    </row>
    <row r="106" spans="1:33" ht="21.6" thickBot="1" x14ac:dyDescent="0.45">
      <c r="A106" s="17">
        <v>87</v>
      </c>
      <c r="B106" s="144"/>
      <c r="C106" s="19"/>
      <c r="D106" s="48"/>
      <c r="E106" s="237"/>
      <c r="F106" s="237"/>
      <c r="G106" s="237"/>
      <c r="H106" s="48"/>
      <c r="I106" s="237"/>
      <c r="J106" s="237"/>
      <c r="K106" s="237"/>
      <c r="L106" s="48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49"/>
      <c r="AC106" s="36"/>
      <c r="AD106" s="36"/>
      <c r="AE106" s="36"/>
      <c r="AF106" s="36"/>
      <c r="AG106" s="49"/>
    </row>
    <row r="108" spans="1:33" s="210" customFormat="1" ht="26.25" x14ac:dyDescent="0.4">
      <c r="A108" s="212"/>
      <c r="B108" s="213"/>
      <c r="C108" s="209"/>
      <c r="T108" s="210" t="s">
        <v>138</v>
      </c>
      <c r="U108" s="210" t="s">
        <v>139</v>
      </c>
      <c r="V108" s="210" t="s">
        <v>2</v>
      </c>
    </row>
    <row r="109" spans="1:33" ht="25.9" x14ac:dyDescent="0.5">
      <c r="S109" s="208"/>
      <c r="T109" s="208">
        <f>[1]Лист1!$E$101</f>
        <v>704</v>
      </c>
      <c r="U109" s="208">
        <f>[1]Лист1!$E$102</f>
        <v>17300</v>
      </c>
      <c r="V109" s="208">
        <f>[1]Лист1!$E$100</f>
        <v>21847</v>
      </c>
      <c r="W109" s="208"/>
      <c r="X109" s="211">
        <f>SUM(T109:V109)</f>
        <v>39851</v>
      </c>
    </row>
    <row r="110" spans="1:33" ht="25.9" x14ac:dyDescent="0.5">
      <c r="S110" s="208"/>
      <c r="T110" s="208">
        <f>[2]Лист1!$E$102</f>
        <v>1280</v>
      </c>
      <c r="U110" s="208">
        <f>[2]Лист1!$E$103</f>
        <v>6083</v>
      </c>
      <c r="V110" s="208">
        <f>[2]Лист1!$E$101</f>
        <v>10134</v>
      </c>
      <c r="W110" s="208"/>
      <c r="X110" s="211">
        <f t="shared" ref="X110:X111" si="161">SUM(T110:V110)</f>
        <v>17497</v>
      </c>
    </row>
    <row r="111" spans="1:33" ht="25.9" x14ac:dyDescent="0.5">
      <c r="S111" s="208"/>
      <c r="T111" s="208">
        <f>[3]Лист1!$E$101</f>
        <v>917</v>
      </c>
      <c r="U111" s="208">
        <f>[3]Лист1!$E$102</f>
        <v>4767</v>
      </c>
      <c r="V111" s="208">
        <f>[3]Лист1!$E$100</f>
        <v>8874</v>
      </c>
      <c r="W111" s="208"/>
      <c r="X111" s="211">
        <f t="shared" si="161"/>
        <v>14558</v>
      </c>
    </row>
    <row r="112" spans="1:33" ht="25.9" x14ac:dyDescent="0.5">
      <c r="C112" s="209"/>
      <c r="D112" s="210"/>
      <c r="E112" s="210"/>
      <c r="F112" s="210"/>
      <c r="G112" s="210"/>
      <c r="H112" s="210"/>
      <c r="I112" s="210"/>
      <c r="J112" s="210"/>
      <c r="K112" s="210"/>
      <c r="L112" s="210"/>
      <c r="M112" s="210"/>
      <c r="N112" s="210"/>
      <c r="O112" s="210"/>
      <c r="P112" s="210"/>
      <c r="Q112" s="210"/>
      <c r="R112" s="210"/>
      <c r="S112" s="211"/>
      <c r="T112" s="211">
        <f>[4]Лист1!$E$101</f>
        <v>1062</v>
      </c>
      <c r="U112" s="211">
        <f>[4]Лист1!$E$102</f>
        <v>293186</v>
      </c>
      <c r="V112" s="211">
        <f>[4]Лист1!$E$100</f>
        <v>297098</v>
      </c>
      <c r="W112" s="208"/>
      <c r="X112" s="210"/>
    </row>
    <row r="113" spans="20:25" ht="25.9" x14ac:dyDescent="0.5">
      <c r="T113" s="211">
        <f>SUM(T109:T112)</f>
        <v>3963</v>
      </c>
      <c r="U113" s="211">
        <f t="shared" ref="U113:V113" si="162">SUM(U109:U112)</f>
        <v>321336</v>
      </c>
      <c r="V113" s="211">
        <f t="shared" si="162"/>
        <v>337953</v>
      </c>
      <c r="W113" s="215"/>
      <c r="X113" s="210"/>
      <c r="Y113" s="214"/>
    </row>
  </sheetData>
  <mergeCells count="12">
    <mergeCell ref="A2:A3"/>
    <mergeCell ref="C2:C3"/>
    <mergeCell ref="D2:H2"/>
    <mergeCell ref="I2:M2"/>
    <mergeCell ref="N2:R2"/>
    <mergeCell ref="X2:AB2"/>
    <mergeCell ref="AC2:AG2"/>
    <mergeCell ref="E105:G105"/>
    <mergeCell ref="I105:K105"/>
    <mergeCell ref="E106:G106"/>
    <mergeCell ref="I106:K106"/>
    <mergeCell ref="S2:W2"/>
  </mergeCells>
  <pageMargins left="0.70866141732283472" right="0.31496062992125984" top="0.35433070866141736" bottom="0.19685039370078741" header="0.31496062992125984" footer="0.31496062992125984"/>
  <pageSetup paperSize="9" scale="46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view="pageBreakPreview" zoomScale="60" zoomScaleNormal="100" workbookViewId="0">
      <pane xSplit="1" topLeftCell="B1" activePane="topRight" state="frozen"/>
      <selection pane="topRight" sqref="A1:XFD1048576"/>
    </sheetView>
  </sheetViews>
  <sheetFormatPr defaultRowHeight="15" x14ac:dyDescent="0.25"/>
  <cols>
    <col min="1" max="1" width="36.7109375" style="216" customWidth="1"/>
    <col min="2" max="2" width="12.28515625" customWidth="1"/>
    <col min="3" max="3" width="12.7109375" customWidth="1"/>
    <col min="4" max="4" width="12.5703125" customWidth="1"/>
    <col min="5" max="5" width="12.7109375" customWidth="1"/>
    <col min="6" max="6" width="12" customWidth="1"/>
    <col min="7" max="7" width="12.28515625" customWidth="1"/>
    <col min="8" max="10" width="17.5703125" customWidth="1"/>
    <col min="11" max="15" width="8.85546875" style="220"/>
  </cols>
  <sheetData>
    <row r="1" spans="1:15" ht="91.9" customHeight="1" x14ac:dyDescent="0.25">
      <c r="A1" s="217" t="s">
        <v>140</v>
      </c>
      <c r="B1" s="242" t="s">
        <v>141</v>
      </c>
      <c r="C1" s="242"/>
      <c r="D1" s="242" t="s">
        <v>142</v>
      </c>
      <c r="E1" s="242"/>
      <c r="F1" s="242" t="s">
        <v>143</v>
      </c>
      <c r="G1" s="242"/>
      <c r="H1" s="243" t="s">
        <v>147</v>
      </c>
      <c r="I1" s="242" t="s">
        <v>204</v>
      </c>
      <c r="J1" s="242"/>
      <c r="K1" s="240" t="s">
        <v>2</v>
      </c>
      <c r="L1" s="240" t="s">
        <v>3</v>
      </c>
      <c r="M1" s="240" t="s">
        <v>4</v>
      </c>
      <c r="N1" s="240" t="s">
        <v>5</v>
      </c>
      <c r="O1" s="240" t="s">
        <v>6</v>
      </c>
    </row>
    <row r="2" spans="1:15" ht="34.15" customHeight="1" x14ac:dyDescent="0.25">
      <c r="A2" s="217"/>
      <c r="B2" s="218" t="s">
        <v>144</v>
      </c>
      <c r="C2" s="218" t="s">
        <v>145</v>
      </c>
      <c r="D2" s="218" t="s">
        <v>144</v>
      </c>
      <c r="E2" s="218" t="s">
        <v>146</v>
      </c>
      <c r="F2" s="218" t="s">
        <v>144</v>
      </c>
      <c r="G2" s="218" t="s">
        <v>146</v>
      </c>
      <c r="H2" s="243"/>
      <c r="I2" s="227" t="s">
        <v>2</v>
      </c>
      <c r="J2" s="228" t="s">
        <v>205</v>
      </c>
      <c r="K2" s="241"/>
      <c r="L2" s="241"/>
      <c r="M2" s="241"/>
      <c r="N2" s="241"/>
      <c r="O2" s="241"/>
    </row>
    <row r="3" spans="1:15" x14ac:dyDescent="0.25">
      <c r="A3" s="219" t="s">
        <v>148</v>
      </c>
      <c r="B3" s="220">
        <v>2</v>
      </c>
      <c r="C3" s="220">
        <v>1</v>
      </c>
      <c r="D3" s="220">
        <v>13</v>
      </c>
      <c r="E3" s="220">
        <v>6</v>
      </c>
      <c r="F3" s="220">
        <v>26</v>
      </c>
      <c r="G3" s="220">
        <v>17</v>
      </c>
      <c r="H3" s="222">
        <v>0</v>
      </c>
      <c r="I3" s="222"/>
      <c r="J3" s="222"/>
    </row>
    <row r="4" spans="1:15" x14ac:dyDescent="0.25">
      <c r="A4" s="219" t="s">
        <v>149</v>
      </c>
      <c r="B4" s="220">
        <v>2</v>
      </c>
      <c r="C4" s="220">
        <v>1</v>
      </c>
      <c r="D4" s="220">
        <v>13</v>
      </c>
      <c r="E4" s="220">
        <v>6</v>
      </c>
      <c r="F4" s="220">
        <v>26</v>
      </c>
      <c r="G4" s="220">
        <v>17</v>
      </c>
      <c r="H4" s="222">
        <v>0</v>
      </c>
      <c r="I4" s="222"/>
      <c r="J4" s="222"/>
    </row>
    <row r="5" spans="1:15" x14ac:dyDescent="0.25">
      <c r="A5" s="219" t="s">
        <v>150</v>
      </c>
      <c r="B5" s="220">
        <v>2</v>
      </c>
      <c r="C5" s="220">
        <v>1</v>
      </c>
      <c r="D5" s="220">
        <v>13</v>
      </c>
      <c r="E5" s="220">
        <v>6</v>
      </c>
      <c r="F5" s="220">
        <v>26</v>
      </c>
      <c r="G5" s="220">
        <v>17</v>
      </c>
      <c r="H5" s="222">
        <v>0</v>
      </c>
      <c r="I5" s="222">
        <f>SUM(I6:I92)</f>
        <v>11</v>
      </c>
      <c r="J5" s="222">
        <f>SUM(J6:J92)</f>
        <v>9</v>
      </c>
      <c r="K5" s="220">
        <f>SUM(K6:K92)</f>
        <v>340660</v>
      </c>
      <c r="L5" s="220">
        <f>SUM(L6:L92)</f>
        <v>3627</v>
      </c>
      <c r="M5" s="223">
        <f>L5/12852*100</f>
        <v>28.221288515406162</v>
      </c>
      <c r="N5" s="220">
        <f>SUM(N6:N92)</f>
        <v>321326</v>
      </c>
      <c r="O5" s="223">
        <f>N5*100/K5</f>
        <v>94.324546468619744</v>
      </c>
    </row>
    <row r="6" spans="1:15" ht="75" x14ac:dyDescent="0.25">
      <c r="A6" s="219" t="s">
        <v>37</v>
      </c>
      <c r="B6" s="220">
        <v>2</v>
      </c>
      <c r="C6" s="220">
        <v>0</v>
      </c>
      <c r="D6" s="220">
        <v>15</v>
      </c>
      <c r="E6" s="220">
        <v>0</v>
      </c>
      <c r="F6" s="220">
        <v>30</v>
      </c>
      <c r="G6" s="220">
        <v>0</v>
      </c>
      <c r="H6" s="222">
        <v>0</v>
      </c>
      <c r="I6" s="222">
        <v>0</v>
      </c>
      <c r="J6" s="222">
        <v>0</v>
      </c>
      <c r="K6" s="220">
        <v>0</v>
      </c>
      <c r="L6" s="220">
        <v>0</v>
      </c>
      <c r="M6" s="220">
        <v>0</v>
      </c>
      <c r="N6" s="220">
        <v>0</v>
      </c>
      <c r="O6" s="220">
        <v>0</v>
      </c>
    </row>
    <row r="7" spans="1:15" ht="120" x14ac:dyDescent="0.25">
      <c r="A7" s="219" t="s">
        <v>39</v>
      </c>
      <c r="B7" s="220">
        <v>2</v>
      </c>
      <c r="C7" s="220">
        <v>0</v>
      </c>
      <c r="D7" s="220">
        <v>15</v>
      </c>
      <c r="E7" s="220">
        <v>0</v>
      </c>
      <c r="F7" s="220">
        <v>1</v>
      </c>
      <c r="G7" s="220">
        <v>0</v>
      </c>
      <c r="H7" s="222">
        <v>0</v>
      </c>
      <c r="I7" s="222">
        <v>0</v>
      </c>
      <c r="J7" s="222">
        <v>0</v>
      </c>
      <c r="K7" s="220">
        <v>0</v>
      </c>
      <c r="L7" s="220">
        <v>0</v>
      </c>
      <c r="M7" s="220">
        <v>0</v>
      </c>
      <c r="N7" s="220">
        <v>0</v>
      </c>
      <c r="O7" s="220">
        <v>0</v>
      </c>
    </row>
    <row r="8" spans="1:15" ht="60" x14ac:dyDescent="0.25">
      <c r="A8" s="219" t="s">
        <v>151</v>
      </c>
      <c r="B8" s="220">
        <v>2</v>
      </c>
      <c r="C8" s="220">
        <v>0</v>
      </c>
      <c r="D8" s="220">
        <v>15</v>
      </c>
      <c r="E8" s="220">
        <v>0</v>
      </c>
      <c r="F8" s="220">
        <v>30</v>
      </c>
      <c r="G8" s="220">
        <v>0</v>
      </c>
      <c r="H8" s="222">
        <v>0</v>
      </c>
      <c r="I8" s="222">
        <v>0</v>
      </c>
      <c r="J8" s="222">
        <v>0</v>
      </c>
      <c r="K8" s="220">
        <v>0</v>
      </c>
      <c r="L8" s="220">
        <v>0</v>
      </c>
      <c r="M8" s="220">
        <v>0</v>
      </c>
      <c r="N8" s="220">
        <v>0</v>
      </c>
      <c r="O8" s="220">
        <v>0</v>
      </c>
    </row>
    <row r="9" spans="1:15" ht="45" x14ac:dyDescent="0.25">
      <c r="A9" s="219" t="s">
        <v>152</v>
      </c>
      <c r="B9" s="220">
        <v>1</v>
      </c>
      <c r="C9" s="220">
        <v>1</v>
      </c>
      <c r="D9" s="220">
        <v>15</v>
      </c>
      <c r="E9" s="220">
        <v>3</v>
      </c>
      <c r="F9" s="220">
        <v>1</v>
      </c>
      <c r="G9" s="220">
        <v>1</v>
      </c>
      <c r="H9" s="222">
        <v>0</v>
      </c>
      <c r="I9" s="222">
        <v>0</v>
      </c>
      <c r="J9" s="222">
        <v>0</v>
      </c>
      <c r="K9" s="220">
        <v>1945</v>
      </c>
      <c r="L9" s="220">
        <v>1005</v>
      </c>
      <c r="M9" s="223">
        <f>L9*100/K9</f>
        <v>51.670951156812336</v>
      </c>
      <c r="N9" s="220">
        <v>0</v>
      </c>
      <c r="O9" s="220">
        <v>0</v>
      </c>
    </row>
    <row r="10" spans="1:15" ht="120" x14ac:dyDescent="0.25">
      <c r="A10" s="219" t="s">
        <v>34</v>
      </c>
      <c r="B10" s="220">
        <v>2</v>
      </c>
      <c r="C10" s="220">
        <v>2</v>
      </c>
      <c r="D10" s="220">
        <v>15</v>
      </c>
      <c r="E10" s="220">
        <v>5</v>
      </c>
      <c r="F10" s="220">
        <v>10</v>
      </c>
      <c r="G10" s="220">
        <v>6</v>
      </c>
      <c r="H10" s="222">
        <v>0</v>
      </c>
      <c r="I10" s="222">
        <v>0</v>
      </c>
      <c r="J10" s="222">
        <v>0</v>
      </c>
      <c r="K10" s="220">
        <v>21</v>
      </c>
      <c r="L10" s="220">
        <v>0</v>
      </c>
      <c r="M10" s="220">
        <v>0</v>
      </c>
      <c r="N10" s="220">
        <v>0</v>
      </c>
      <c r="O10" s="220">
        <v>0</v>
      </c>
    </row>
    <row r="11" spans="1:15" ht="135" x14ac:dyDescent="0.25">
      <c r="A11" s="219" t="s">
        <v>153</v>
      </c>
      <c r="B11" s="220">
        <v>2</v>
      </c>
      <c r="C11" s="220">
        <v>2</v>
      </c>
      <c r="D11" s="220">
        <v>15</v>
      </c>
      <c r="E11" s="220">
        <v>15</v>
      </c>
      <c r="F11" s="220">
        <v>27</v>
      </c>
      <c r="G11" s="220">
        <v>27</v>
      </c>
      <c r="H11" s="222">
        <v>0</v>
      </c>
      <c r="I11" s="222">
        <v>0</v>
      </c>
      <c r="J11" s="222">
        <v>0</v>
      </c>
      <c r="K11" s="220">
        <v>609</v>
      </c>
      <c r="L11" s="220">
        <v>285</v>
      </c>
      <c r="M11" s="220">
        <v>46.8</v>
      </c>
      <c r="N11" s="220">
        <v>0</v>
      </c>
      <c r="O11" s="220">
        <v>0</v>
      </c>
    </row>
    <row r="12" spans="1:15" ht="30" x14ac:dyDescent="0.25">
      <c r="A12" s="219" t="s">
        <v>30</v>
      </c>
      <c r="B12" s="220">
        <v>2</v>
      </c>
      <c r="C12" s="220">
        <v>1</v>
      </c>
      <c r="D12" s="220">
        <v>15</v>
      </c>
      <c r="E12" s="220">
        <v>1</v>
      </c>
      <c r="F12" s="220">
        <v>7</v>
      </c>
      <c r="G12" s="220">
        <v>7</v>
      </c>
      <c r="H12" s="222">
        <v>0</v>
      </c>
      <c r="I12" s="222">
        <v>0</v>
      </c>
      <c r="J12" s="222">
        <v>0</v>
      </c>
      <c r="K12" s="220">
        <v>384</v>
      </c>
      <c r="L12" s="220">
        <v>0</v>
      </c>
      <c r="M12" s="220">
        <v>0</v>
      </c>
      <c r="N12" s="220">
        <v>0</v>
      </c>
      <c r="O12" s="220">
        <v>0</v>
      </c>
    </row>
    <row r="13" spans="1:15" ht="45" x14ac:dyDescent="0.25">
      <c r="A13" s="219" t="s">
        <v>20</v>
      </c>
      <c r="B13" s="220">
        <v>2</v>
      </c>
      <c r="C13" s="220">
        <v>1</v>
      </c>
      <c r="D13" s="220">
        <v>15</v>
      </c>
      <c r="E13" s="220">
        <v>1</v>
      </c>
      <c r="F13" s="220">
        <v>30</v>
      </c>
      <c r="G13" s="220">
        <v>4</v>
      </c>
      <c r="H13" s="222">
        <v>0</v>
      </c>
      <c r="I13" s="222">
        <v>0</v>
      </c>
      <c r="J13" s="222">
        <v>0</v>
      </c>
      <c r="K13" s="220">
        <v>5</v>
      </c>
      <c r="L13" s="220">
        <v>0</v>
      </c>
      <c r="M13" s="220">
        <v>0</v>
      </c>
      <c r="N13" s="220">
        <v>0</v>
      </c>
      <c r="O13" s="220">
        <v>0</v>
      </c>
    </row>
    <row r="14" spans="1:15" ht="75" x14ac:dyDescent="0.25">
      <c r="A14" s="219" t="s">
        <v>154</v>
      </c>
      <c r="B14" s="220">
        <v>2</v>
      </c>
      <c r="C14" s="220">
        <v>2</v>
      </c>
      <c r="D14" s="220">
        <v>15</v>
      </c>
      <c r="E14" s="220">
        <v>5</v>
      </c>
      <c r="F14" s="220">
        <v>90</v>
      </c>
      <c r="G14" s="220">
        <v>90</v>
      </c>
      <c r="H14" s="222">
        <v>0</v>
      </c>
      <c r="I14" s="222">
        <v>0</v>
      </c>
      <c r="J14" s="222">
        <v>0</v>
      </c>
      <c r="K14" s="220">
        <v>134</v>
      </c>
      <c r="L14" s="220">
        <v>0</v>
      </c>
      <c r="M14" s="220">
        <v>0</v>
      </c>
      <c r="N14" s="220">
        <v>0</v>
      </c>
      <c r="O14" s="220">
        <v>0</v>
      </c>
    </row>
    <row r="15" spans="1:15" ht="105" x14ac:dyDescent="0.25">
      <c r="A15" s="219" t="s">
        <v>155</v>
      </c>
      <c r="B15" s="220">
        <v>2</v>
      </c>
      <c r="C15" s="220">
        <v>2</v>
      </c>
      <c r="D15" s="220">
        <v>15</v>
      </c>
      <c r="E15" s="220">
        <v>8</v>
      </c>
      <c r="F15" s="220">
        <v>5</v>
      </c>
      <c r="G15" s="220">
        <v>4</v>
      </c>
      <c r="H15" s="222">
        <v>0</v>
      </c>
      <c r="I15" s="222">
        <v>0</v>
      </c>
      <c r="J15" s="222">
        <v>0</v>
      </c>
      <c r="K15" s="220">
        <v>157</v>
      </c>
      <c r="L15" s="220">
        <v>0</v>
      </c>
      <c r="M15" s="220">
        <v>0</v>
      </c>
      <c r="N15" s="220">
        <v>13</v>
      </c>
      <c r="O15" s="220">
        <v>8.3000000000000007</v>
      </c>
    </row>
    <row r="16" spans="1:15" ht="60" x14ac:dyDescent="0.25">
      <c r="A16" s="219" t="s">
        <v>156</v>
      </c>
      <c r="B16" s="220">
        <v>2</v>
      </c>
      <c r="C16" s="220">
        <v>0</v>
      </c>
      <c r="D16" s="220">
        <v>15</v>
      </c>
      <c r="E16" s="220">
        <v>0</v>
      </c>
      <c r="F16" s="220">
        <v>30</v>
      </c>
      <c r="G16" s="220">
        <v>0</v>
      </c>
      <c r="H16" s="222">
        <v>0</v>
      </c>
      <c r="I16" s="222">
        <v>0</v>
      </c>
      <c r="J16" s="222">
        <v>0</v>
      </c>
      <c r="K16" s="220">
        <v>28</v>
      </c>
      <c r="L16" s="220">
        <v>0</v>
      </c>
      <c r="M16" s="220">
        <v>0</v>
      </c>
      <c r="N16" s="220">
        <v>0</v>
      </c>
      <c r="O16" s="220">
        <v>0</v>
      </c>
    </row>
    <row r="17" spans="1:15" ht="165" x14ac:dyDescent="0.25">
      <c r="A17" s="219" t="s">
        <v>16</v>
      </c>
      <c r="B17" s="220">
        <v>2</v>
      </c>
      <c r="C17" s="220">
        <v>1</v>
      </c>
      <c r="D17" s="220">
        <v>15</v>
      </c>
      <c r="E17" s="220">
        <v>1</v>
      </c>
      <c r="F17" s="220">
        <v>30</v>
      </c>
      <c r="G17" s="220">
        <v>7</v>
      </c>
      <c r="H17" s="222">
        <v>0</v>
      </c>
      <c r="I17" s="222">
        <v>0</v>
      </c>
      <c r="J17" s="222">
        <v>0</v>
      </c>
      <c r="K17" s="220">
        <v>16</v>
      </c>
      <c r="L17" s="220">
        <v>0</v>
      </c>
      <c r="M17" s="220">
        <v>0</v>
      </c>
      <c r="N17" s="220">
        <v>0</v>
      </c>
      <c r="O17" s="220">
        <v>0</v>
      </c>
    </row>
    <row r="18" spans="1:15" ht="45" x14ac:dyDescent="0.25">
      <c r="A18" s="219" t="s">
        <v>15</v>
      </c>
      <c r="B18" s="220">
        <v>2</v>
      </c>
      <c r="C18" s="220">
        <v>2</v>
      </c>
      <c r="D18" s="220">
        <v>15</v>
      </c>
      <c r="E18" s="220">
        <v>2</v>
      </c>
      <c r="F18" s="220">
        <v>30</v>
      </c>
      <c r="G18" s="220">
        <v>28</v>
      </c>
      <c r="H18" s="222">
        <v>0</v>
      </c>
      <c r="I18" s="222">
        <v>0</v>
      </c>
      <c r="J18" s="222">
        <v>0</v>
      </c>
      <c r="K18" s="220">
        <v>52</v>
      </c>
      <c r="L18" s="220">
        <v>0</v>
      </c>
      <c r="M18" s="220">
        <v>0</v>
      </c>
      <c r="N18" s="220">
        <v>0</v>
      </c>
      <c r="O18" s="220">
        <v>0</v>
      </c>
    </row>
    <row r="19" spans="1:15" ht="60" x14ac:dyDescent="0.25">
      <c r="A19" s="219" t="s">
        <v>157</v>
      </c>
      <c r="B19" s="220">
        <v>2</v>
      </c>
      <c r="C19" s="220">
        <v>2</v>
      </c>
      <c r="D19" s="220">
        <v>15</v>
      </c>
      <c r="E19" s="220">
        <v>15</v>
      </c>
      <c r="F19" s="220">
        <v>30</v>
      </c>
      <c r="G19" s="220">
        <v>30</v>
      </c>
      <c r="H19" s="222">
        <v>0</v>
      </c>
      <c r="I19" s="222">
        <v>0</v>
      </c>
      <c r="J19" s="222">
        <v>0</v>
      </c>
      <c r="K19" s="220">
        <v>108</v>
      </c>
      <c r="L19" s="220">
        <v>0</v>
      </c>
      <c r="M19" s="220">
        <v>0</v>
      </c>
      <c r="N19" s="220">
        <v>0</v>
      </c>
      <c r="O19" s="220">
        <v>0</v>
      </c>
    </row>
    <row r="20" spans="1:15" ht="60" x14ac:dyDescent="0.25">
      <c r="A20" s="219" t="s">
        <v>33</v>
      </c>
      <c r="B20" s="220">
        <v>2</v>
      </c>
      <c r="C20" s="220">
        <v>1</v>
      </c>
      <c r="D20" s="220">
        <v>15</v>
      </c>
      <c r="E20" s="220">
        <v>1</v>
      </c>
      <c r="F20" s="220">
        <v>24</v>
      </c>
      <c r="G20" s="220">
        <v>2</v>
      </c>
      <c r="H20" s="222">
        <v>0</v>
      </c>
      <c r="I20" s="222">
        <v>0</v>
      </c>
      <c r="J20" s="222">
        <v>0</v>
      </c>
      <c r="K20" s="220">
        <v>746</v>
      </c>
      <c r="L20" s="220">
        <v>0</v>
      </c>
      <c r="M20" s="220">
        <v>0</v>
      </c>
      <c r="N20" s="220">
        <v>0</v>
      </c>
      <c r="O20" s="220">
        <v>0</v>
      </c>
    </row>
    <row r="21" spans="1:15" ht="90" x14ac:dyDescent="0.25">
      <c r="A21" s="219" t="s">
        <v>158</v>
      </c>
      <c r="B21" s="220">
        <v>2</v>
      </c>
      <c r="C21" s="220">
        <v>2</v>
      </c>
      <c r="D21" s="220">
        <v>15</v>
      </c>
      <c r="E21" s="220">
        <v>15</v>
      </c>
      <c r="F21" s="220">
        <v>30</v>
      </c>
      <c r="G21" s="220">
        <v>30</v>
      </c>
      <c r="H21" s="222">
        <v>0</v>
      </c>
      <c r="I21" s="222">
        <v>0</v>
      </c>
      <c r="J21" s="222">
        <v>0</v>
      </c>
      <c r="K21" s="220">
        <v>235</v>
      </c>
      <c r="L21" s="220">
        <v>0</v>
      </c>
      <c r="M21" s="220">
        <v>0</v>
      </c>
      <c r="N21" s="220">
        <v>0</v>
      </c>
      <c r="O21" s="220">
        <v>0</v>
      </c>
    </row>
    <row r="22" spans="1:15" ht="45" x14ac:dyDescent="0.25">
      <c r="A22" s="219" t="s">
        <v>7</v>
      </c>
      <c r="B22" s="220">
        <v>2</v>
      </c>
      <c r="C22" s="220">
        <v>2</v>
      </c>
      <c r="D22" s="220">
        <v>15</v>
      </c>
      <c r="E22" s="220">
        <v>15</v>
      </c>
      <c r="F22" s="220">
        <v>20</v>
      </c>
      <c r="G22" s="220">
        <v>20</v>
      </c>
      <c r="H22" s="222">
        <v>0</v>
      </c>
      <c r="I22" s="222">
        <v>0</v>
      </c>
      <c r="J22" s="222">
        <v>0</v>
      </c>
      <c r="K22" s="220">
        <v>579</v>
      </c>
      <c r="L22" s="220">
        <v>7</v>
      </c>
      <c r="M22" s="220">
        <v>1.2</v>
      </c>
      <c r="N22" s="220">
        <v>6</v>
      </c>
      <c r="O22" s="220">
        <v>1</v>
      </c>
    </row>
    <row r="23" spans="1:15" ht="45" x14ac:dyDescent="0.25">
      <c r="A23" s="219" t="s">
        <v>13</v>
      </c>
      <c r="B23" s="220">
        <v>1</v>
      </c>
      <c r="C23" s="220">
        <v>1</v>
      </c>
      <c r="D23" s="220">
        <v>15</v>
      </c>
      <c r="E23" s="220">
        <v>15</v>
      </c>
      <c r="F23" s="220">
        <v>10</v>
      </c>
      <c r="G23" s="220">
        <v>10</v>
      </c>
      <c r="H23" s="222">
        <v>0</v>
      </c>
      <c r="I23" s="222">
        <v>0</v>
      </c>
      <c r="J23" s="222">
        <v>0</v>
      </c>
      <c r="K23" s="220">
        <v>3051</v>
      </c>
      <c r="L23" s="220">
        <v>1527</v>
      </c>
      <c r="M23" s="220">
        <v>50</v>
      </c>
      <c r="N23" s="220">
        <v>2</v>
      </c>
      <c r="O23" s="220">
        <v>0.1</v>
      </c>
    </row>
    <row r="24" spans="1:15" ht="120" x14ac:dyDescent="0.25">
      <c r="A24" s="219" t="s">
        <v>159</v>
      </c>
      <c r="B24" s="220">
        <v>2</v>
      </c>
      <c r="C24" s="220">
        <v>2</v>
      </c>
      <c r="D24" s="220">
        <v>15</v>
      </c>
      <c r="E24" s="220">
        <v>14</v>
      </c>
      <c r="F24" s="220">
        <v>30</v>
      </c>
      <c r="G24" s="220">
        <v>30</v>
      </c>
      <c r="H24" s="222">
        <v>0</v>
      </c>
      <c r="I24" s="222">
        <v>0</v>
      </c>
      <c r="J24" s="222">
        <v>0</v>
      </c>
      <c r="K24" s="220">
        <v>14</v>
      </c>
      <c r="L24" s="220">
        <v>0</v>
      </c>
      <c r="M24" s="220">
        <v>0</v>
      </c>
      <c r="N24" s="220">
        <v>0</v>
      </c>
      <c r="O24" s="220">
        <v>0</v>
      </c>
    </row>
    <row r="25" spans="1:15" ht="75" x14ac:dyDescent="0.25">
      <c r="A25" s="219" t="s">
        <v>18</v>
      </c>
      <c r="B25" s="220">
        <v>2</v>
      </c>
      <c r="C25" s="220">
        <v>2</v>
      </c>
      <c r="D25" s="220">
        <v>15</v>
      </c>
      <c r="E25" s="220">
        <v>5</v>
      </c>
      <c r="F25" s="220">
        <v>30</v>
      </c>
      <c r="G25" s="220">
        <v>30</v>
      </c>
      <c r="H25" s="222">
        <v>0</v>
      </c>
      <c r="I25" s="222">
        <v>0</v>
      </c>
      <c r="J25" s="222">
        <v>0</v>
      </c>
      <c r="K25" s="220">
        <v>32</v>
      </c>
      <c r="L25" s="220">
        <v>0</v>
      </c>
      <c r="M25" s="220">
        <v>0</v>
      </c>
      <c r="N25" s="220">
        <v>0</v>
      </c>
      <c r="O25" s="220">
        <v>0</v>
      </c>
    </row>
    <row r="26" spans="1:15" ht="45" x14ac:dyDescent="0.25">
      <c r="A26" s="219" t="s">
        <v>14</v>
      </c>
      <c r="B26" s="220">
        <v>2</v>
      </c>
      <c r="C26" s="220">
        <v>1</v>
      </c>
      <c r="D26" s="220">
        <v>15</v>
      </c>
      <c r="E26" s="220">
        <v>5</v>
      </c>
      <c r="F26" s="220">
        <v>30</v>
      </c>
      <c r="G26" s="220">
        <v>30</v>
      </c>
      <c r="H26" s="222">
        <v>0</v>
      </c>
      <c r="I26" s="222">
        <v>0</v>
      </c>
      <c r="J26" s="222">
        <v>0</v>
      </c>
      <c r="K26" s="220">
        <v>14</v>
      </c>
      <c r="L26" s="220">
        <v>0</v>
      </c>
      <c r="M26" s="220">
        <v>0</v>
      </c>
      <c r="N26" s="220">
        <v>0</v>
      </c>
      <c r="O26" s="220">
        <v>0</v>
      </c>
    </row>
    <row r="27" spans="1:15" ht="30" x14ac:dyDescent="0.25">
      <c r="A27" s="219" t="s">
        <v>41</v>
      </c>
      <c r="B27" s="220">
        <v>2</v>
      </c>
      <c r="C27" s="220">
        <v>2</v>
      </c>
      <c r="D27" s="220">
        <v>15</v>
      </c>
      <c r="E27" s="220">
        <v>13</v>
      </c>
      <c r="F27" s="220">
        <v>3</v>
      </c>
      <c r="G27" s="220">
        <v>3</v>
      </c>
      <c r="H27" s="222">
        <v>0</v>
      </c>
      <c r="I27" s="222">
        <v>10</v>
      </c>
      <c r="J27" s="222">
        <v>8</v>
      </c>
      <c r="K27" s="220">
        <v>189</v>
      </c>
      <c r="L27" s="220">
        <v>0</v>
      </c>
      <c r="M27" s="220">
        <v>0</v>
      </c>
      <c r="N27" s="220">
        <v>0</v>
      </c>
      <c r="O27" s="220">
        <v>0</v>
      </c>
    </row>
    <row r="28" spans="1:15" ht="45" x14ac:dyDescent="0.25">
      <c r="A28" s="219" t="s">
        <v>38</v>
      </c>
      <c r="B28" s="220">
        <v>2</v>
      </c>
      <c r="C28" s="220">
        <v>2</v>
      </c>
      <c r="D28" s="220">
        <v>15</v>
      </c>
      <c r="E28" s="220">
        <v>15</v>
      </c>
      <c r="F28" s="220">
        <v>14</v>
      </c>
      <c r="G28" s="220">
        <v>14</v>
      </c>
      <c r="H28" s="222">
        <v>0</v>
      </c>
      <c r="I28" s="222">
        <v>0</v>
      </c>
      <c r="J28" s="222">
        <v>0</v>
      </c>
      <c r="K28" s="220">
        <v>30</v>
      </c>
      <c r="L28" s="220">
        <v>0</v>
      </c>
      <c r="M28" s="220">
        <v>0</v>
      </c>
      <c r="N28" s="220">
        <v>0</v>
      </c>
      <c r="O28" s="220">
        <v>0</v>
      </c>
    </row>
    <row r="29" spans="1:15" ht="60" x14ac:dyDescent="0.25">
      <c r="A29" s="219" t="s">
        <v>160</v>
      </c>
      <c r="B29" s="220">
        <v>0</v>
      </c>
      <c r="C29" s="220">
        <v>0</v>
      </c>
      <c r="D29" s="220">
        <v>0</v>
      </c>
      <c r="E29" s="220">
        <v>0</v>
      </c>
      <c r="F29" s="220">
        <v>0</v>
      </c>
      <c r="G29" s="220">
        <v>0</v>
      </c>
      <c r="H29" s="222">
        <v>0</v>
      </c>
      <c r="I29" s="222">
        <v>0</v>
      </c>
      <c r="J29" s="222">
        <v>0</v>
      </c>
      <c r="K29" s="220">
        <v>0</v>
      </c>
      <c r="L29" s="220">
        <v>0</v>
      </c>
      <c r="M29" s="220">
        <v>0</v>
      </c>
      <c r="N29" s="220">
        <v>0</v>
      </c>
      <c r="O29" s="220">
        <v>0</v>
      </c>
    </row>
    <row r="30" spans="1:15" ht="105" x14ac:dyDescent="0.25">
      <c r="A30" s="219" t="s">
        <v>161</v>
      </c>
      <c r="B30" s="220">
        <v>2</v>
      </c>
      <c r="C30" s="220">
        <v>2</v>
      </c>
      <c r="D30" s="220">
        <v>15</v>
      </c>
      <c r="E30" s="220">
        <v>15</v>
      </c>
      <c r="F30" s="220">
        <v>30</v>
      </c>
      <c r="G30" s="220">
        <v>30</v>
      </c>
      <c r="H30" s="222">
        <v>0</v>
      </c>
      <c r="I30" s="222">
        <v>0</v>
      </c>
      <c r="J30" s="222">
        <v>0</v>
      </c>
      <c r="K30" s="220">
        <v>85</v>
      </c>
      <c r="L30" s="220">
        <v>0</v>
      </c>
      <c r="M30" s="220">
        <v>0</v>
      </c>
      <c r="N30" s="220">
        <v>0</v>
      </c>
      <c r="O30" s="220">
        <v>0</v>
      </c>
    </row>
    <row r="31" spans="1:15" ht="105" x14ac:dyDescent="0.25">
      <c r="A31" s="219" t="s">
        <v>162</v>
      </c>
      <c r="B31" s="220">
        <v>2</v>
      </c>
      <c r="C31" s="220">
        <v>1</v>
      </c>
      <c r="D31" s="220">
        <v>15</v>
      </c>
      <c r="E31" s="220">
        <v>4</v>
      </c>
      <c r="F31" s="220">
        <v>30</v>
      </c>
      <c r="G31" s="220">
        <v>8</v>
      </c>
      <c r="H31" s="222">
        <v>0</v>
      </c>
      <c r="I31" s="222">
        <v>0</v>
      </c>
      <c r="J31" s="222">
        <v>0</v>
      </c>
      <c r="K31" s="220">
        <v>6</v>
      </c>
      <c r="L31" s="220">
        <v>0</v>
      </c>
      <c r="M31" s="220">
        <v>0</v>
      </c>
      <c r="N31" s="220">
        <v>0</v>
      </c>
      <c r="O31" s="220">
        <v>0</v>
      </c>
    </row>
    <row r="32" spans="1:15" ht="120" x14ac:dyDescent="0.25">
      <c r="A32" s="219" t="s">
        <v>163</v>
      </c>
      <c r="B32" s="220">
        <v>2</v>
      </c>
      <c r="C32" s="220">
        <v>2</v>
      </c>
      <c r="D32" s="220">
        <v>15</v>
      </c>
      <c r="E32" s="220">
        <v>15</v>
      </c>
      <c r="F32" s="220">
        <v>30</v>
      </c>
      <c r="G32" s="220">
        <v>30</v>
      </c>
      <c r="H32" s="222">
        <v>0</v>
      </c>
      <c r="I32" s="222">
        <v>0</v>
      </c>
      <c r="J32" s="222">
        <v>0</v>
      </c>
      <c r="K32" s="220">
        <v>152</v>
      </c>
      <c r="L32" s="220">
        <v>0</v>
      </c>
      <c r="M32" s="220">
        <v>0</v>
      </c>
      <c r="N32" s="220">
        <v>0</v>
      </c>
      <c r="O32" s="220">
        <v>0</v>
      </c>
    </row>
    <row r="33" spans="1:15" ht="60" x14ac:dyDescent="0.25">
      <c r="A33" s="219" t="s">
        <v>164</v>
      </c>
      <c r="B33" s="220">
        <v>2</v>
      </c>
      <c r="C33" s="220">
        <v>2</v>
      </c>
      <c r="D33" s="220">
        <v>15</v>
      </c>
      <c r="E33" s="220">
        <v>15</v>
      </c>
      <c r="F33" s="220">
        <v>30</v>
      </c>
      <c r="G33" s="220">
        <v>30</v>
      </c>
      <c r="H33" s="222">
        <v>0</v>
      </c>
      <c r="I33" s="222">
        <v>0</v>
      </c>
      <c r="J33" s="222">
        <v>0</v>
      </c>
      <c r="K33" s="220">
        <v>347</v>
      </c>
      <c r="L33" s="220">
        <v>0</v>
      </c>
      <c r="M33" s="220">
        <v>0</v>
      </c>
      <c r="N33" s="220">
        <v>10</v>
      </c>
      <c r="O33" s="220">
        <v>2.9</v>
      </c>
    </row>
    <row r="34" spans="1:15" ht="60" x14ac:dyDescent="0.25">
      <c r="A34" s="219" t="s">
        <v>51</v>
      </c>
      <c r="B34" s="220">
        <v>2</v>
      </c>
      <c r="C34" s="220">
        <v>2</v>
      </c>
      <c r="D34" s="220">
        <v>15</v>
      </c>
      <c r="E34" s="220">
        <v>13</v>
      </c>
      <c r="F34" s="220">
        <v>30</v>
      </c>
      <c r="G34" s="220">
        <v>26</v>
      </c>
      <c r="H34" s="222">
        <v>0</v>
      </c>
      <c r="I34" s="222">
        <v>0</v>
      </c>
      <c r="J34" s="222">
        <v>0</v>
      </c>
      <c r="K34" s="220">
        <v>30</v>
      </c>
      <c r="L34" s="220">
        <v>0</v>
      </c>
      <c r="M34" s="220">
        <v>0</v>
      </c>
      <c r="N34" s="220">
        <v>0</v>
      </c>
      <c r="O34" s="220">
        <v>0</v>
      </c>
    </row>
    <row r="35" spans="1:15" ht="60" x14ac:dyDescent="0.25">
      <c r="A35" s="219" t="s">
        <v>55</v>
      </c>
      <c r="B35" s="220">
        <v>2</v>
      </c>
      <c r="C35" s="220">
        <v>1</v>
      </c>
      <c r="D35" s="220">
        <v>15</v>
      </c>
      <c r="E35" s="220">
        <v>10</v>
      </c>
      <c r="F35" s="220">
        <v>10</v>
      </c>
      <c r="G35" s="220">
        <v>10</v>
      </c>
      <c r="H35" s="222">
        <v>0</v>
      </c>
      <c r="I35" s="222">
        <v>0</v>
      </c>
      <c r="J35" s="222">
        <v>0</v>
      </c>
      <c r="K35" s="220">
        <v>2241</v>
      </c>
      <c r="L35" s="220">
        <v>489</v>
      </c>
      <c r="M35" s="220">
        <v>21.8</v>
      </c>
      <c r="N35" s="220">
        <v>2</v>
      </c>
      <c r="O35" s="220">
        <v>0.1</v>
      </c>
    </row>
    <row r="36" spans="1:15" ht="60" x14ac:dyDescent="0.25">
      <c r="A36" s="219" t="s">
        <v>165</v>
      </c>
      <c r="B36" s="220">
        <v>1</v>
      </c>
      <c r="C36" s="220">
        <v>1</v>
      </c>
      <c r="D36" s="220">
        <v>4</v>
      </c>
      <c r="E36" s="220">
        <v>4</v>
      </c>
      <c r="F36" s="220">
        <v>2</v>
      </c>
      <c r="G36" s="220">
        <v>2</v>
      </c>
      <c r="H36" s="222">
        <v>0</v>
      </c>
      <c r="I36" s="222">
        <v>0</v>
      </c>
      <c r="J36" s="222">
        <v>0</v>
      </c>
      <c r="K36" s="220">
        <v>292</v>
      </c>
      <c r="L36" s="220">
        <v>0</v>
      </c>
      <c r="M36" s="220">
        <v>0</v>
      </c>
      <c r="N36" s="220">
        <v>0</v>
      </c>
      <c r="O36" s="220">
        <v>0</v>
      </c>
    </row>
    <row r="37" spans="1:15" ht="75" x14ac:dyDescent="0.25">
      <c r="A37" s="219" t="s">
        <v>166</v>
      </c>
      <c r="B37" s="220">
        <v>2</v>
      </c>
      <c r="C37" s="220">
        <v>1</v>
      </c>
      <c r="D37" s="220">
        <v>15</v>
      </c>
      <c r="E37" s="220">
        <v>1</v>
      </c>
      <c r="F37" s="220">
        <v>120</v>
      </c>
      <c r="G37" s="220">
        <v>30</v>
      </c>
      <c r="H37" s="222">
        <v>0</v>
      </c>
      <c r="I37" s="222">
        <v>0</v>
      </c>
      <c r="J37" s="222">
        <v>0</v>
      </c>
      <c r="K37" s="220">
        <v>0</v>
      </c>
      <c r="L37" s="220">
        <v>0</v>
      </c>
      <c r="M37" s="220">
        <v>0</v>
      </c>
      <c r="N37" s="220">
        <v>0</v>
      </c>
      <c r="O37" s="220">
        <v>0</v>
      </c>
    </row>
    <row r="38" spans="1:15" ht="45" x14ac:dyDescent="0.25">
      <c r="A38" s="219" t="s">
        <v>167</v>
      </c>
      <c r="B38" s="220">
        <v>1</v>
      </c>
      <c r="C38" s="220">
        <v>1</v>
      </c>
      <c r="D38" s="220">
        <v>4</v>
      </c>
      <c r="E38" s="220">
        <v>1</v>
      </c>
      <c r="F38" s="220">
        <v>2</v>
      </c>
      <c r="G38" s="220">
        <v>2</v>
      </c>
      <c r="H38" s="222">
        <v>0</v>
      </c>
      <c r="I38" s="222">
        <v>0</v>
      </c>
      <c r="J38" s="222">
        <v>0</v>
      </c>
      <c r="K38" s="220">
        <v>597</v>
      </c>
      <c r="L38" s="220">
        <v>0</v>
      </c>
      <c r="M38" s="220">
        <v>0</v>
      </c>
      <c r="N38" s="220">
        <v>0</v>
      </c>
      <c r="O38" s="220">
        <v>0</v>
      </c>
    </row>
    <row r="39" spans="1:15" ht="60" x14ac:dyDescent="0.25">
      <c r="A39" s="219" t="s">
        <v>54</v>
      </c>
      <c r="B39" s="220">
        <v>1</v>
      </c>
      <c r="C39" s="220">
        <v>0</v>
      </c>
      <c r="D39" s="220">
        <v>4</v>
      </c>
      <c r="E39" s="220">
        <v>0</v>
      </c>
      <c r="F39" s="220">
        <v>8</v>
      </c>
      <c r="G39" s="220">
        <v>0</v>
      </c>
      <c r="H39" s="222">
        <v>0</v>
      </c>
      <c r="I39" s="222">
        <v>0</v>
      </c>
      <c r="J39" s="222">
        <v>0</v>
      </c>
      <c r="K39" s="220">
        <v>171</v>
      </c>
      <c r="L39" s="220">
        <v>0</v>
      </c>
      <c r="M39" s="220">
        <v>0</v>
      </c>
      <c r="N39" s="220">
        <v>0</v>
      </c>
      <c r="O39" s="220">
        <v>0</v>
      </c>
    </row>
    <row r="40" spans="1:15" ht="75" x14ac:dyDescent="0.25">
      <c r="A40" s="219" t="s">
        <v>49</v>
      </c>
      <c r="B40" s="220">
        <v>2</v>
      </c>
      <c r="C40" s="220">
        <v>0</v>
      </c>
      <c r="D40" s="220">
        <v>15</v>
      </c>
      <c r="E40" s="220">
        <v>0</v>
      </c>
      <c r="F40" s="220">
        <v>30</v>
      </c>
      <c r="G40" s="220">
        <v>0</v>
      </c>
      <c r="H40" s="222">
        <v>0</v>
      </c>
      <c r="I40" s="222">
        <v>0</v>
      </c>
      <c r="J40" s="222">
        <v>0</v>
      </c>
      <c r="K40" s="220">
        <v>0</v>
      </c>
      <c r="L40" s="220">
        <v>0</v>
      </c>
      <c r="M40" s="220">
        <v>0</v>
      </c>
      <c r="N40" s="220">
        <v>0</v>
      </c>
      <c r="O40" s="220">
        <v>0</v>
      </c>
    </row>
    <row r="41" spans="1:15" ht="45" x14ac:dyDescent="0.25">
      <c r="A41" s="219" t="s">
        <v>21</v>
      </c>
      <c r="B41" s="220">
        <v>2</v>
      </c>
      <c r="C41" s="220">
        <v>0</v>
      </c>
      <c r="D41" s="220">
        <v>15</v>
      </c>
      <c r="E41" s="220">
        <v>0</v>
      </c>
      <c r="F41" s="220">
        <v>30</v>
      </c>
      <c r="G41" s="220">
        <v>0</v>
      </c>
      <c r="H41" s="222">
        <v>0</v>
      </c>
      <c r="I41" s="222">
        <v>0</v>
      </c>
      <c r="J41" s="222">
        <v>0</v>
      </c>
      <c r="K41" s="220">
        <v>2</v>
      </c>
      <c r="L41" s="220">
        <v>0</v>
      </c>
      <c r="M41" s="220">
        <v>0</v>
      </c>
      <c r="N41" s="220">
        <v>0</v>
      </c>
      <c r="O41" s="220">
        <v>0</v>
      </c>
    </row>
    <row r="42" spans="1:15" ht="60" x14ac:dyDescent="0.25">
      <c r="A42" s="219" t="s">
        <v>168</v>
      </c>
      <c r="B42" s="220">
        <v>2</v>
      </c>
      <c r="C42" s="220">
        <v>0</v>
      </c>
      <c r="D42" s="220">
        <v>15</v>
      </c>
      <c r="E42" s="220">
        <v>0</v>
      </c>
      <c r="F42" s="220">
        <v>45</v>
      </c>
      <c r="G42" s="220">
        <v>0</v>
      </c>
      <c r="H42" s="222">
        <v>0</v>
      </c>
      <c r="I42" s="222">
        <v>0</v>
      </c>
      <c r="J42" s="222">
        <v>0</v>
      </c>
      <c r="K42" s="220">
        <v>4</v>
      </c>
      <c r="L42" s="220">
        <v>0</v>
      </c>
      <c r="M42" s="220">
        <v>0</v>
      </c>
      <c r="N42" s="220">
        <v>0</v>
      </c>
      <c r="O42" s="220">
        <v>0</v>
      </c>
    </row>
    <row r="43" spans="1:15" ht="45" x14ac:dyDescent="0.25">
      <c r="A43" s="219" t="s">
        <v>169</v>
      </c>
      <c r="B43" s="220">
        <v>2</v>
      </c>
      <c r="C43" s="220">
        <v>2</v>
      </c>
      <c r="D43" s="220">
        <v>15</v>
      </c>
      <c r="E43" s="220">
        <v>6</v>
      </c>
      <c r="F43" s="220">
        <v>60</v>
      </c>
      <c r="G43" s="220">
        <v>60</v>
      </c>
      <c r="H43" s="222">
        <v>0</v>
      </c>
      <c r="I43" s="222">
        <v>0</v>
      </c>
      <c r="J43" s="222">
        <v>0</v>
      </c>
      <c r="K43" s="220">
        <v>25</v>
      </c>
      <c r="L43" s="220">
        <v>0</v>
      </c>
      <c r="M43" s="220">
        <v>0</v>
      </c>
      <c r="N43" s="220">
        <v>0</v>
      </c>
      <c r="O43" s="220">
        <v>0</v>
      </c>
    </row>
    <row r="44" spans="1:15" ht="60" x14ac:dyDescent="0.25">
      <c r="A44" s="219" t="s">
        <v>170</v>
      </c>
      <c r="B44" s="220">
        <v>0</v>
      </c>
      <c r="C44" s="220">
        <v>0</v>
      </c>
      <c r="D44" s="220">
        <v>0</v>
      </c>
      <c r="E44" s="220">
        <v>0</v>
      </c>
      <c r="F44" s="220">
        <v>0</v>
      </c>
      <c r="G44" s="220">
        <v>0</v>
      </c>
      <c r="H44" s="222">
        <v>0</v>
      </c>
      <c r="I44" s="222">
        <v>0</v>
      </c>
      <c r="J44" s="222">
        <v>0</v>
      </c>
      <c r="K44" s="220">
        <v>0</v>
      </c>
      <c r="L44" s="220">
        <v>0</v>
      </c>
      <c r="M44" s="220">
        <v>0</v>
      </c>
      <c r="N44" s="220">
        <v>0</v>
      </c>
      <c r="O44" s="220">
        <v>0</v>
      </c>
    </row>
    <row r="45" spans="1:15" ht="60" x14ac:dyDescent="0.25">
      <c r="A45" s="219" t="s">
        <v>19</v>
      </c>
      <c r="B45" s="220">
        <v>2</v>
      </c>
      <c r="C45" s="220">
        <v>2</v>
      </c>
      <c r="D45" s="220">
        <v>15</v>
      </c>
      <c r="E45" s="220">
        <v>5</v>
      </c>
      <c r="F45" s="220">
        <v>38</v>
      </c>
      <c r="G45" s="220">
        <v>15</v>
      </c>
      <c r="H45" s="222">
        <v>0</v>
      </c>
      <c r="I45" s="222">
        <v>0</v>
      </c>
      <c r="J45" s="222">
        <v>0</v>
      </c>
      <c r="K45" s="220">
        <v>67</v>
      </c>
      <c r="L45" s="220">
        <v>0</v>
      </c>
      <c r="M45" s="220">
        <v>0</v>
      </c>
      <c r="N45" s="220">
        <v>0</v>
      </c>
      <c r="O45" s="220">
        <v>0</v>
      </c>
    </row>
    <row r="46" spans="1:15" ht="75" x14ac:dyDescent="0.25">
      <c r="A46" s="219" t="s">
        <v>171</v>
      </c>
      <c r="B46" s="220">
        <v>2</v>
      </c>
      <c r="C46" s="220">
        <v>2</v>
      </c>
      <c r="D46" s="220">
        <v>15</v>
      </c>
      <c r="E46" s="220">
        <v>15</v>
      </c>
      <c r="F46" s="220">
        <v>30</v>
      </c>
      <c r="G46" s="220">
        <v>30</v>
      </c>
      <c r="H46" s="222">
        <v>0</v>
      </c>
      <c r="I46" s="222">
        <v>0</v>
      </c>
      <c r="J46" s="222">
        <v>0</v>
      </c>
      <c r="K46" s="220">
        <v>64</v>
      </c>
      <c r="L46" s="220">
        <v>0</v>
      </c>
      <c r="M46" s="220">
        <v>0</v>
      </c>
      <c r="N46" s="220">
        <v>0</v>
      </c>
      <c r="O46" s="220">
        <v>0</v>
      </c>
    </row>
    <row r="47" spans="1:15" ht="75" x14ac:dyDescent="0.25">
      <c r="A47" s="219" t="s">
        <v>172</v>
      </c>
      <c r="B47" s="220">
        <v>2</v>
      </c>
      <c r="C47" s="220">
        <v>0</v>
      </c>
      <c r="D47" s="220">
        <v>15</v>
      </c>
      <c r="E47" s="220">
        <v>0</v>
      </c>
      <c r="F47" s="220">
        <v>60</v>
      </c>
      <c r="G47" s="220">
        <v>0</v>
      </c>
      <c r="H47" s="222">
        <v>0</v>
      </c>
      <c r="I47" s="222">
        <v>0</v>
      </c>
      <c r="J47" s="222">
        <v>0</v>
      </c>
      <c r="K47" s="220">
        <v>0</v>
      </c>
      <c r="L47" s="220">
        <v>0</v>
      </c>
      <c r="M47" s="220">
        <v>0</v>
      </c>
      <c r="N47" s="220">
        <v>0</v>
      </c>
      <c r="O47" s="220">
        <v>0</v>
      </c>
    </row>
    <row r="48" spans="1:15" ht="60" x14ac:dyDescent="0.25">
      <c r="A48" s="219" t="s">
        <v>43</v>
      </c>
      <c r="B48" s="220">
        <v>2</v>
      </c>
      <c r="C48" s="220">
        <v>2</v>
      </c>
      <c r="D48" s="220">
        <v>15</v>
      </c>
      <c r="E48" s="220">
        <v>5</v>
      </c>
      <c r="F48" s="220">
        <v>30</v>
      </c>
      <c r="G48" s="220">
        <v>30</v>
      </c>
      <c r="H48" s="222">
        <v>0</v>
      </c>
      <c r="I48" s="222">
        <v>0</v>
      </c>
      <c r="J48" s="222">
        <v>0</v>
      </c>
      <c r="K48" s="220">
        <v>47</v>
      </c>
      <c r="L48" s="220">
        <v>0</v>
      </c>
      <c r="M48" s="220">
        <v>0</v>
      </c>
      <c r="N48" s="220">
        <v>0</v>
      </c>
      <c r="O48" s="220">
        <v>0</v>
      </c>
    </row>
    <row r="49" spans="1:15" ht="60" x14ac:dyDescent="0.25">
      <c r="A49" s="219" t="s">
        <v>22</v>
      </c>
      <c r="B49" s="220">
        <v>2</v>
      </c>
      <c r="C49" s="220">
        <v>0</v>
      </c>
      <c r="D49" s="220">
        <v>15</v>
      </c>
      <c r="E49" s="220">
        <v>15</v>
      </c>
      <c r="F49" s="220">
        <v>30</v>
      </c>
      <c r="G49" s="220">
        <v>30</v>
      </c>
      <c r="H49" s="222">
        <v>0</v>
      </c>
      <c r="I49" s="222">
        <v>0</v>
      </c>
      <c r="J49" s="222">
        <v>0</v>
      </c>
      <c r="K49" s="220">
        <v>0</v>
      </c>
      <c r="L49" s="220">
        <v>0</v>
      </c>
      <c r="M49" s="220">
        <v>0</v>
      </c>
      <c r="N49" s="220">
        <v>0</v>
      </c>
      <c r="O49" s="220">
        <v>0</v>
      </c>
    </row>
    <row r="50" spans="1:15" ht="45" x14ac:dyDescent="0.25">
      <c r="A50" s="219" t="s">
        <v>44</v>
      </c>
      <c r="B50" s="220">
        <v>2</v>
      </c>
      <c r="C50" s="220">
        <v>2</v>
      </c>
      <c r="D50" s="220">
        <v>15</v>
      </c>
      <c r="E50" s="220">
        <v>9</v>
      </c>
      <c r="F50" s="220">
        <v>30</v>
      </c>
      <c r="G50" s="220">
        <v>30</v>
      </c>
      <c r="H50" s="222">
        <v>0</v>
      </c>
      <c r="I50" s="222">
        <v>0</v>
      </c>
      <c r="J50" s="222">
        <v>0</v>
      </c>
      <c r="K50" s="220">
        <v>11</v>
      </c>
      <c r="L50" s="220">
        <v>0</v>
      </c>
      <c r="M50" s="220">
        <v>0</v>
      </c>
      <c r="N50" s="220">
        <v>0</v>
      </c>
      <c r="O50" s="220">
        <v>0</v>
      </c>
    </row>
    <row r="51" spans="1:15" ht="105" x14ac:dyDescent="0.25">
      <c r="A51" s="219" t="s">
        <v>40</v>
      </c>
      <c r="B51" s="220">
        <v>2</v>
      </c>
      <c r="C51" s="220">
        <v>0</v>
      </c>
      <c r="D51" s="220">
        <v>15</v>
      </c>
      <c r="E51" s="220">
        <v>0</v>
      </c>
      <c r="F51" s="220">
        <v>30</v>
      </c>
      <c r="G51" s="220">
        <v>0</v>
      </c>
      <c r="H51" s="222">
        <v>0</v>
      </c>
      <c r="I51" s="222">
        <v>0</v>
      </c>
      <c r="J51" s="222">
        <v>0</v>
      </c>
      <c r="K51" s="220">
        <v>0</v>
      </c>
      <c r="L51" s="220">
        <v>0</v>
      </c>
      <c r="M51" s="220">
        <v>0</v>
      </c>
      <c r="N51" s="220">
        <v>0</v>
      </c>
      <c r="O51" s="220">
        <v>0</v>
      </c>
    </row>
    <row r="52" spans="1:15" ht="60" x14ac:dyDescent="0.25">
      <c r="A52" s="219" t="s">
        <v>29</v>
      </c>
      <c r="B52" s="220">
        <v>2</v>
      </c>
      <c r="C52" s="220">
        <v>2</v>
      </c>
      <c r="D52" s="220">
        <v>15</v>
      </c>
      <c r="E52" s="220">
        <v>13</v>
      </c>
      <c r="F52" s="220">
        <v>10</v>
      </c>
      <c r="G52" s="220">
        <v>10</v>
      </c>
      <c r="H52" s="222">
        <v>0</v>
      </c>
      <c r="I52" s="222">
        <v>0</v>
      </c>
      <c r="J52" s="222">
        <v>0</v>
      </c>
      <c r="K52" s="220">
        <v>8</v>
      </c>
      <c r="L52" s="220">
        <v>0</v>
      </c>
      <c r="M52" s="220">
        <v>0</v>
      </c>
      <c r="N52" s="220">
        <v>0</v>
      </c>
      <c r="O52" s="220">
        <v>0</v>
      </c>
    </row>
    <row r="53" spans="1:15" ht="75" x14ac:dyDescent="0.25">
      <c r="A53" s="219" t="s">
        <v>26</v>
      </c>
      <c r="B53" s="220">
        <v>2</v>
      </c>
      <c r="C53" s="220">
        <v>2</v>
      </c>
      <c r="D53" s="220">
        <v>15</v>
      </c>
      <c r="E53" s="220">
        <v>3</v>
      </c>
      <c r="F53" s="220">
        <v>45</v>
      </c>
      <c r="G53" s="220">
        <v>30</v>
      </c>
      <c r="H53" s="222">
        <v>0</v>
      </c>
      <c r="I53" s="222">
        <v>0</v>
      </c>
      <c r="J53" s="222">
        <v>0</v>
      </c>
      <c r="K53" s="220">
        <v>19</v>
      </c>
      <c r="L53" s="220">
        <v>0</v>
      </c>
      <c r="M53" s="220">
        <v>0</v>
      </c>
      <c r="N53" s="220">
        <v>0</v>
      </c>
      <c r="O53" s="220">
        <v>0</v>
      </c>
    </row>
    <row r="54" spans="1:15" ht="45" x14ac:dyDescent="0.25">
      <c r="A54" s="219" t="s">
        <v>62</v>
      </c>
      <c r="B54" s="220">
        <v>1</v>
      </c>
      <c r="C54" s="220">
        <v>1</v>
      </c>
      <c r="D54" s="220">
        <v>15</v>
      </c>
      <c r="E54" s="220">
        <v>14</v>
      </c>
      <c r="F54" s="220">
        <v>10</v>
      </c>
      <c r="G54" s="220">
        <v>9</v>
      </c>
      <c r="H54" s="222">
        <v>0</v>
      </c>
      <c r="I54" s="222">
        <v>0</v>
      </c>
      <c r="J54" s="222">
        <v>0</v>
      </c>
      <c r="K54" s="220">
        <v>3</v>
      </c>
      <c r="L54" s="220">
        <v>0</v>
      </c>
      <c r="M54" s="220">
        <v>0</v>
      </c>
      <c r="N54" s="220">
        <v>0</v>
      </c>
      <c r="O54" s="220">
        <v>0</v>
      </c>
    </row>
    <row r="55" spans="1:15" ht="60" x14ac:dyDescent="0.25">
      <c r="A55" s="219" t="s">
        <v>173</v>
      </c>
      <c r="B55" s="220">
        <v>2</v>
      </c>
      <c r="C55" s="220">
        <v>2</v>
      </c>
      <c r="D55" s="220">
        <v>15</v>
      </c>
      <c r="E55" s="220">
        <v>14</v>
      </c>
      <c r="F55" s="220">
        <v>30</v>
      </c>
      <c r="G55" s="220">
        <v>30</v>
      </c>
      <c r="H55" s="222">
        <v>0</v>
      </c>
      <c r="I55" s="222">
        <v>0</v>
      </c>
      <c r="J55" s="222">
        <v>0</v>
      </c>
      <c r="K55" s="220">
        <v>0</v>
      </c>
      <c r="L55" s="220">
        <v>0</v>
      </c>
      <c r="M55" s="220">
        <v>0</v>
      </c>
      <c r="N55" s="220">
        <v>0</v>
      </c>
      <c r="O55" s="220">
        <v>0</v>
      </c>
    </row>
    <row r="56" spans="1:15" ht="60" x14ac:dyDescent="0.25">
      <c r="A56" s="219" t="s">
        <v>174</v>
      </c>
      <c r="B56" s="220">
        <v>2</v>
      </c>
      <c r="C56" s="220">
        <v>2</v>
      </c>
      <c r="D56" s="220">
        <v>15</v>
      </c>
      <c r="E56" s="220">
        <v>15</v>
      </c>
      <c r="F56" s="220">
        <v>27</v>
      </c>
      <c r="G56" s="220">
        <v>27</v>
      </c>
      <c r="H56" s="222">
        <v>0</v>
      </c>
      <c r="I56" s="222">
        <v>0</v>
      </c>
      <c r="J56" s="222">
        <v>0</v>
      </c>
      <c r="K56" s="220">
        <v>152</v>
      </c>
      <c r="L56" s="220">
        <v>0</v>
      </c>
      <c r="M56" s="220">
        <v>0</v>
      </c>
      <c r="N56" s="220">
        <v>0</v>
      </c>
      <c r="O56" s="220">
        <v>0</v>
      </c>
    </row>
    <row r="57" spans="1:15" ht="120" x14ac:dyDescent="0.25">
      <c r="A57" s="219" t="s">
        <v>36</v>
      </c>
      <c r="B57" s="220">
        <v>2</v>
      </c>
      <c r="C57" s="220">
        <v>0</v>
      </c>
      <c r="D57" s="220">
        <v>15</v>
      </c>
      <c r="E57" s="220">
        <v>0</v>
      </c>
      <c r="F57" s="220">
        <v>98</v>
      </c>
      <c r="G57" s="220">
        <v>0</v>
      </c>
      <c r="H57" s="222">
        <v>0</v>
      </c>
      <c r="I57" s="222">
        <v>0</v>
      </c>
      <c r="J57" s="222">
        <v>0</v>
      </c>
      <c r="K57" s="220">
        <v>0</v>
      </c>
      <c r="L57" s="220">
        <v>0</v>
      </c>
      <c r="M57" s="220">
        <v>0</v>
      </c>
      <c r="N57" s="220">
        <v>0</v>
      </c>
      <c r="O57" s="220">
        <v>0</v>
      </c>
    </row>
    <row r="58" spans="1:15" ht="45" x14ac:dyDescent="0.25">
      <c r="A58" s="219" t="s">
        <v>50</v>
      </c>
      <c r="B58" s="220">
        <v>2</v>
      </c>
      <c r="C58" s="220">
        <v>1</v>
      </c>
      <c r="D58" s="220">
        <v>15</v>
      </c>
      <c r="E58" s="220">
        <v>8</v>
      </c>
      <c r="F58" s="220">
        <v>1</v>
      </c>
      <c r="G58" s="220">
        <v>1</v>
      </c>
      <c r="H58" s="222">
        <v>0</v>
      </c>
      <c r="I58" s="222">
        <v>0</v>
      </c>
      <c r="J58" s="222">
        <v>0</v>
      </c>
      <c r="K58" s="220">
        <v>10</v>
      </c>
      <c r="L58" s="220">
        <v>0</v>
      </c>
      <c r="M58" s="220">
        <v>0</v>
      </c>
      <c r="N58" s="220">
        <v>0</v>
      </c>
      <c r="O58" s="220">
        <v>0</v>
      </c>
    </row>
    <row r="59" spans="1:15" ht="75" x14ac:dyDescent="0.25">
      <c r="A59" s="219" t="s">
        <v>59</v>
      </c>
      <c r="B59" s="220">
        <v>2</v>
      </c>
      <c r="C59" s="220">
        <v>0</v>
      </c>
      <c r="D59" s="220">
        <v>15</v>
      </c>
      <c r="E59" s="220">
        <v>0</v>
      </c>
      <c r="F59" s="220">
        <v>7</v>
      </c>
      <c r="G59" s="220">
        <v>0</v>
      </c>
      <c r="H59" s="222">
        <v>0</v>
      </c>
      <c r="I59" s="222">
        <v>0</v>
      </c>
      <c r="J59" s="222">
        <v>0</v>
      </c>
      <c r="K59" s="224">
        <v>0</v>
      </c>
      <c r="L59" s="225">
        <v>0</v>
      </c>
      <c r="M59" s="225">
        <v>0</v>
      </c>
      <c r="N59" s="225">
        <v>0</v>
      </c>
      <c r="O59" s="225">
        <v>0</v>
      </c>
    </row>
    <row r="60" spans="1:15" ht="75" x14ac:dyDescent="0.25">
      <c r="A60" s="219" t="s">
        <v>60</v>
      </c>
      <c r="B60" s="220">
        <v>2</v>
      </c>
      <c r="C60" s="220">
        <v>0</v>
      </c>
      <c r="D60" s="220">
        <v>15</v>
      </c>
      <c r="E60" s="220">
        <v>0</v>
      </c>
      <c r="F60" s="220">
        <v>7</v>
      </c>
      <c r="G60" s="220">
        <v>0</v>
      </c>
      <c r="H60" s="222">
        <v>0</v>
      </c>
      <c r="I60" s="222">
        <v>0</v>
      </c>
      <c r="J60" s="222">
        <v>0</v>
      </c>
      <c r="K60" s="224">
        <v>0</v>
      </c>
      <c r="L60" s="225">
        <v>0</v>
      </c>
      <c r="M60" s="225">
        <v>0</v>
      </c>
      <c r="N60" s="225">
        <v>0</v>
      </c>
      <c r="O60" s="225">
        <v>0</v>
      </c>
    </row>
    <row r="61" spans="1:15" ht="45" x14ac:dyDescent="0.25">
      <c r="A61" s="219" t="s">
        <v>10</v>
      </c>
      <c r="B61" s="220">
        <v>2</v>
      </c>
      <c r="C61" s="220">
        <v>2</v>
      </c>
      <c r="D61" s="220">
        <v>15</v>
      </c>
      <c r="E61" s="220">
        <v>2</v>
      </c>
      <c r="F61" s="220">
        <v>30</v>
      </c>
      <c r="G61" s="220">
        <v>20</v>
      </c>
      <c r="H61" s="222">
        <v>0</v>
      </c>
      <c r="I61" s="222">
        <v>0</v>
      </c>
      <c r="J61" s="222">
        <v>0</v>
      </c>
      <c r="K61" s="220">
        <v>87</v>
      </c>
      <c r="L61" s="220">
        <v>0</v>
      </c>
      <c r="M61" s="220">
        <v>0</v>
      </c>
      <c r="N61" s="220">
        <v>0</v>
      </c>
      <c r="O61" s="220">
        <v>0</v>
      </c>
    </row>
    <row r="62" spans="1:15" ht="60" x14ac:dyDescent="0.25">
      <c r="A62" s="219" t="s">
        <v>46</v>
      </c>
      <c r="B62" s="220">
        <v>2</v>
      </c>
      <c r="C62" s="220">
        <v>2</v>
      </c>
      <c r="D62" s="220">
        <v>15</v>
      </c>
      <c r="E62" s="220">
        <v>15</v>
      </c>
      <c r="F62" s="220">
        <v>30</v>
      </c>
      <c r="G62" s="220">
        <v>30</v>
      </c>
      <c r="H62" s="222">
        <v>0</v>
      </c>
      <c r="I62" s="222">
        <v>0</v>
      </c>
      <c r="J62" s="222">
        <v>0</v>
      </c>
      <c r="K62" s="220">
        <v>17</v>
      </c>
      <c r="L62" s="220">
        <v>0</v>
      </c>
      <c r="M62" s="220">
        <v>0</v>
      </c>
      <c r="N62" s="220">
        <v>0</v>
      </c>
      <c r="O62" s="220">
        <v>0</v>
      </c>
    </row>
    <row r="63" spans="1:15" ht="45" x14ac:dyDescent="0.25">
      <c r="A63" s="219" t="s">
        <v>65</v>
      </c>
      <c r="B63" s="220">
        <v>2</v>
      </c>
      <c r="C63" s="220">
        <v>1</v>
      </c>
      <c r="D63" s="220">
        <v>15</v>
      </c>
      <c r="E63" s="220">
        <v>1</v>
      </c>
      <c r="F63" s="220">
        <v>30</v>
      </c>
      <c r="G63" s="220">
        <v>8</v>
      </c>
      <c r="H63" s="222">
        <v>0</v>
      </c>
      <c r="I63" s="222">
        <v>0</v>
      </c>
      <c r="J63" s="222">
        <v>0</v>
      </c>
      <c r="K63" s="224">
        <v>0</v>
      </c>
      <c r="L63" s="225">
        <v>0</v>
      </c>
      <c r="M63" s="225">
        <v>0</v>
      </c>
      <c r="N63" s="225">
        <v>0</v>
      </c>
      <c r="O63" s="225">
        <v>0</v>
      </c>
    </row>
    <row r="64" spans="1:15" ht="45" x14ac:dyDescent="0.25">
      <c r="A64" s="219" t="s">
        <v>175</v>
      </c>
      <c r="B64" s="220">
        <v>2</v>
      </c>
      <c r="C64" s="220">
        <v>2</v>
      </c>
      <c r="D64" s="220">
        <v>15</v>
      </c>
      <c r="E64" s="220">
        <v>10</v>
      </c>
      <c r="F64" s="220">
        <v>150</v>
      </c>
      <c r="G64" s="220">
        <v>150</v>
      </c>
      <c r="H64" s="222">
        <v>0</v>
      </c>
      <c r="I64" s="222">
        <v>0</v>
      </c>
      <c r="J64" s="222">
        <v>0</v>
      </c>
      <c r="K64" s="220">
        <v>23</v>
      </c>
      <c r="L64" s="220">
        <v>0</v>
      </c>
      <c r="M64" s="220">
        <v>0</v>
      </c>
      <c r="N64" s="220">
        <v>0</v>
      </c>
      <c r="O64" s="220">
        <v>0</v>
      </c>
    </row>
    <row r="65" spans="1:15" ht="75" x14ac:dyDescent="0.25">
      <c r="A65" s="219" t="s">
        <v>176</v>
      </c>
      <c r="B65" s="220">
        <v>1</v>
      </c>
      <c r="C65" s="220">
        <v>1</v>
      </c>
      <c r="D65" s="220">
        <v>15</v>
      </c>
      <c r="E65" s="220">
        <v>8</v>
      </c>
      <c r="F65" s="220">
        <v>20</v>
      </c>
      <c r="G65" s="220">
        <v>12</v>
      </c>
      <c r="H65" s="222">
        <v>0</v>
      </c>
      <c r="I65" s="222">
        <v>0</v>
      </c>
      <c r="J65" s="222">
        <v>0</v>
      </c>
      <c r="K65" s="220">
        <v>119</v>
      </c>
      <c r="L65" s="220">
        <v>18</v>
      </c>
      <c r="M65" s="220">
        <v>15.1</v>
      </c>
      <c r="N65" s="220">
        <v>2</v>
      </c>
      <c r="O65" s="220">
        <v>1.7</v>
      </c>
    </row>
    <row r="66" spans="1:15" ht="120" x14ac:dyDescent="0.25">
      <c r="A66" s="219" t="s">
        <v>177</v>
      </c>
      <c r="B66" s="220">
        <v>1</v>
      </c>
      <c r="C66" s="220">
        <v>1</v>
      </c>
      <c r="D66" s="220">
        <v>8</v>
      </c>
      <c r="E66" s="220">
        <v>5</v>
      </c>
      <c r="F66" s="220">
        <v>15</v>
      </c>
      <c r="G66" s="220">
        <v>14</v>
      </c>
      <c r="H66" s="222">
        <v>0</v>
      </c>
      <c r="I66" s="222">
        <v>0</v>
      </c>
      <c r="J66" s="222">
        <v>0</v>
      </c>
      <c r="K66" s="224">
        <v>0</v>
      </c>
      <c r="L66" s="225">
        <v>0</v>
      </c>
      <c r="M66" s="225">
        <v>0</v>
      </c>
      <c r="N66" s="225">
        <v>0</v>
      </c>
      <c r="O66" s="225">
        <v>0</v>
      </c>
    </row>
    <row r="67" spans="1:15" ht="105" x14ac:dyDescent="0.25">
      <c r="A67" s="219" t="s">
        <v>178</v>
      </c>
      <c r="B67" s="220">
        <v>1</v>
      </c>
      <c r="C67" s="220">
        <v>1</v>
      </c>
      <c r="D67" s="220">
        <v>15</v>
      </c>
      <c r="E67" s="220">
        <v>10</v>
      </c>
      <c r="F67" s="220">
        <v>30</v>
      </c>
      <c r="G67" s="220">
        <v>18</v>
      </c>
      <c r="H67" s="222">
        <v>0</v>
      </c>
      <c r="I67" s="222">
        <v>0</v>
      </c>
      <c r="J67" s="222">
        <v>0</v>
      </c>
      <c r="K67" s="224">
        <v>169</v>
      </c>
      <c r="L67" s="225">
        <v>10</v>
      </c>
      <c r="M67" s="224">
        <v>5.9</v>
      </c>
      <c r="N67" s="225">
        <v>3</v>
      </c>
      <c r="O67" s="224">
        <v>1.8</v>
      </c>
    </row>
    <row r="68" spans="1:15" ht="150" x14ac:dyDescent="0.25">
      <c r="A68" s="219" t="s">
        <v>179</v>
      </c>
      <c r="B68" s="220">
        <v>2</v>
      </c>
      <c r="C68" s="220">
        <v>2</v>
      </c>
      <c r="D68" s="220">
        <v>15</v>
      </c>
      <c r="E68" s="220">
        <v>5</v>
      </c>
      <c r="F68" s="220">
        <v>7</v>
      </c>
      <c r="G68" s="220">
        <v>7</v>
      </c>
      <c r="H68" s="222">
        <v>0</v>
      </c>
      <c r="I68" s="222">
        <v>0</v>
      </c>
      <c r="J68" s="222">
        <v>0</v>
      </c>
      <c r="K68" s="220">
        <v>597</v>
      </c>
      <c r="L68" s="220">
        <v>0</v>
      </c>
      <c r="M68" s="220">
        <v>0</v>
      </c>
      <c r="N68" s="220">
        <v>0</v>
      </c>
      <c r="O68" s="220">
        <v>0</v>
      </c>
    </row>
    <row r="69" spans="1:15" ht="180" x14ac:dyDescent="0.25">
      <c r="A69" s="219" t="s">
        <v>180</v>
      </c>
      <c r="B69" s="220">
        <v>1</v>
      </c>
      <c r="C69" s="220">
        <v>1</v>
      </c>
      <c r="D69" s="220">
        <v>8</v>
      </c>
      <c r="E69" s="220">
        <v>3</v>
      </c>
      <c r="F69" s="220">
        <v>4</v>
      </c>
      <c r="G69" s="220">
        <v>4</v>
      </c>
      <c r="H69" s="222">
        <v>0</v>
      </c>
      <c r="I69" s="222">
        <v>0</v>
      </c>
      <c r="J69" s="222">
        <v>0</v>
      </c>
      <c r="K69" s="220">
        <v>171</v>
      </c>
      <c r="L69" s="220">
        <v>0</v>
      </c>
      <c r="M69" s="220">
        <v>0</v>
      </c>
      <c r="N69" s="220">
        <v>0</v>
      </c>
      <c r="O69" s="220">
        <v>0</v>
      </c>
    </row>
    <row r="70" spans="1:15" ht="195" x14ac:dyDescent="0.25">
      <c r="A70" s="219" t="s">
        <v>181</v>
      </c>
      <c r="B70" s="220">
        <v>0</v>
      </c>
      <c r="C70" s="220">
        <v>0</v>
      </c>
      <c r="D70" s="220">
        <v>0</v>
      </c>
      <c r="E70" s="220">
        <v>0</v>
      </c>
      <c r="F70" s="220">
        <v>0</v>
      </c>
      <c r="G70" s="220">
        <v>0</v>
      </c>
      <c r="H70" s="222">
        <v>0</v>
      </c>
      <c r="I70" s="222">
        <v>0</v>
      </c>
      <c r="J70" s="222">
        <v>0</v>
      </c>
      <c r="K70" s="220">
        <v>362</v>
      </c>
      <c r="L70" s="220">
        <v>0</v>
      </c>
      <c r="M70" s="220">
        <v>0</v>
      </c>
      <c r="N70" s="220">
        <v>0</v>
      </c>
      <c r="O70" s="220">
        <v>0</v>
      </c>
    </row>
    <row r="71" spans="1:15" ht="120" x14ac:dyDescent="0.25">
      <c r="A71" s="219" t="s">
        <v>182</v>
      </c>
      <c r="B71" s="220">
        <v>1</v>
      </c>
      <c r="C71" s="220">
        <v>1</v>
      </c>
      <c r="D71" s="220">
        <v>4</v>
      </c>
      <c r="E71" s="220">
        <v>1</v>
      </c>
      <c r="F71" s="220">
        <v>11</v>
      </c>
      <c r="G71" s="220">
        <v>4</v>
      </c>
      <c r="H71" s="222">
        <v>0</v>
      </c>
      <c r="I71" s="222">
        <v>0</v>
      </c>
      <c r="J71" s="222">
        <v>0</v>
      </c>
      <c r="K71" s="220">
        <v>0</v>
      </c>
      <c r="L71" s="220">
        <v>0</v>
      </c>
      <c r="M71" s="220">
        <v>0</v>
      </c>
      <c r="N71" s="220">
        <v>0</v>
      </c>
      <c r="O71" s="220">
        <v>0</v>
      </c>
    </row>
    <row r="72" spans="1:15" ht="105" x14ac:dyDescent="0.25">
      <c r="A72" s="219" t="s">
        <v>183</v>
      </c>
      <c r="B72" s="220">
        <v>0</v>
      </c>
      <c r="C72" s="220">
        <v>0</v>
      </c>
      <c r="D72" s="220">
        <v>0</v>
      </c>
      <c r="E72" s="220">
        <v>0</v>
      </c>
      <c r="F72" s="220">
        <v>0</v>
      </c>
      <c r="G72" s="220">
        <v>0</v>
      </c>
      <c r="H72" s="222">
        <v>0</v>
      </c>
      <c r="I72" s="222">
        <v>0</v>
      </c>
      <c r="J72" s="222">
        <v>0</v>
      </c>
      <c r="K72" s="220">
        <v>0</v>
      </c>
      <c r="L72" s="220">
        <v>0</v>
      </c>
      <c r="M72" s="220">
        <v>0</v>
      </c>
      <c r="N72" s="220">
        <v>0</v>
      </c>
      <c r="O72" s="220">
        <v>0</v>
      </c>
    </row>
    <row r="73" spans="1:15" ht="135" x14ac:dyDescent="0.25">
      <c r="A73" s="229" t="s">
        <v>184</v>
      </c>
      <c r="B73" s="220">
        <v>1</v>
      </c>
      <c r="C73" s="220">
        <v>1</v>
      </c>
      <c r="D73" s="220">
        <v>8</v>
      </c>
      <c r="E73" s="220">
        <v>3</v>
      </c>
      <c r="F73" s="220">
        <v>23</v>
      </c>
      <c r="G73" s="220">
        <v>15</v>
      </c>
      <c r="H73" s="222">
        <v>0</v>
      </c>
      <c r="I73" s="222">
        <v>1</v>
      </c>
      <c r="J73" s="222">
        <v>1</v>
      </c>
      <c r="K73" s="220">
        <v>0</v>
      </c>
      <c r="L73" s="220">
        <v>0</v>
      </c>
      <c r="M73" s="220">
        <v>0</v>
      </c>
      <c r="N73" s="220">
        <v>0</v>
      </c>
      <c r="O73" s="220">
        <v>0</v>
      </c>
    </row>
    <row r="74" spans="1:15" ht="90" x14ac:dyDescent="0.25">
      <c r="A74" s="219" t="s">
        <v>185</v>
      </c>
      <c r="B74" s="220">
        <v>2</v>
      </c>
      <c r="C74" s="220">
        <v>2</v>
      </c>
      <c r="D74" s="220">
        <v>15</v>
      </c>
      <c r="E74" s="220">
        <v>5</v>
      </c>
      <c r="F74" s="220">
        <v>60</v>
      </c>
      <c r="G74" s="220">
        <v>60</v>
      </c>
      <c r="H74" s="222">
        <v>0</v>
      </c>
      <c r="I74" s="222">
        <v>0</v>
      </c>
      <c r="J74" s="222">
        <v>0</v>
      </c>
      <c r="K74" s="220">
        <v>46</v>
      </c>
      <c r="L74" s="220">
        <v>0</v>
      </c>
      <c r="M74" s="220">
        <v>0</v>
      </c>
      <c r="N74" s="220">
        <v>0</v>
      </c>
      <c r="O74" s="220">
        <v>0</v>
      </c>
    </row>
    <row r="75" spans="1:15" ht="60" x14ac:dyDescent="0.25">
      <c r="A75" s="219" t="s">
        <v>186</v>
      </c>
      <c r="B75" s="220">
        <v>2</v>
      </c>
      <c r="C75" s="220">
        <v>2</v>
      </c>
      <c r="D75" s="220">
        <v>15</v>
      </c>
      <c r="E75" s="220">
        <v>5</v>
      </c>
      <c r="F75" s="220">
        <v>30</v>
      </c>
      <c r="G75" s="220">
        <v>30</v>
      </c>
      <c r="H75" s="222">
        <v>0</v>
      </c>
      <c r="I75" s="222">
        <v>0</v>
      </c>
      <c r="J75" s="222">
        <v>0</v>
      </c>
      <c r="K75" s="220">
        <v>10</v>
      </c>
      <c r="L75" s="220">
        <v>0</v>
      </c>
      <c r="M75" s="220">
        <v>0</v>
      </c>
      <c r="N75" s="220">
        <v>0</v>
      </c>
      <c r="O75" s="220">
        <v>0</v>
      </c>
    </row>
    <row r="76" spans="1:15" ht="75" x14ac:dyDescent="0.25">
      <c r="A76" s="219" t="s">
        <v>187</v>
      </c>
      <c r="B76" s="220">
        <v>2</v>
      </c>
      <c r="C76" s="220">
        <v>1</v>
      </c>
      <c r="D76" s="220">
        <v>15</v>
      </c>
      <c r="E76" s="220">
        <v>4</v>
      </c>
      <c r="F76" s="220">
        <v>30</v>
      </c>
      <c r="G76" s="220">
        <v>8</v>
      </c>
      <c r="H76" s="222">
        <v>0</v>
      </c>
      <c r="I76" s="222">
        <v>0</v>
      </c>
      <c r="J76" s="222">
        <v>0</v>
      </c>
      <c r="K76" s="220">
        <v>0</v>
      </c>
      <c r="L76" s="220">
        <v>0</v>
      </c>
      <c r="M76" s="220">
        <v>0</v>
      </c>
      <c r="N76" s="220">
        <v>0</v>
      </c>
      <c r="O76" s="220">
        <v>0</v>
      </c>
    </row>
    <row r="77" spans="1:15" ht="300" x14ac:dyDescent="0.25">
      <c r="A77" s="219" t="s">
        <v>188</v>
      </c>
      <c r="B77" s="220">
        <v>2</v>
      </c>
      <c r="C77" s="220">
        <v>2</v>
      </c>
      <c r="D77" s="220">
        <v>15</v>
      </c>
      <c r="E77" s="220">
        <v>11</v>
      </c>
      <c r="F77" s="220">
        <v>30</v>
      </c>
      <c r="G77" s="220">
        <v>23</v>
      </c>
      <c r="H77" s="222">
        <v>0</v>
      </c>
      <c r="I77" s="222">
        <v>0</v>
      </c>
      <c r="J77" s="222">
        <v>0</v>
      </c>
      <c r="K77" s="220">
        <v>6</v>
      </c>
      <c r="L77" s="220">
        <v>0</v>
      </c>
      <c r="M77" s="220">
        <v>0</v>
      </c>
      <c r="N77" s="220">
        <v>0</v>
      </c>
      <c r="O77" s="220">
        <v>0</v>
      </c>
    </row>
    <row r="78" spans="1:15" ht="75" x14ac:dyDescent="0.25">
      <c r="A78" s="219" t="s">
        <v>189</v>
      </c>
      <c r="B78" s="220">
        <v>2</v>
      </c>
      <c r="C78" s="220">
        <v>2</v>
      </c>
      <c r="D78" s="220">
        <v>15</v>
      </c>
      <c r="E78" s="220">
        <v>5</v>
      </c>
      <c r="F78" s="220">
        <v>9</v>
      </c>
      <c r="G78" s="220">
        <v>5</v>
      </c>
      <c r="H78" s="222">
        <v>0</v>
      </c>
      <c r="I78" s="222">
        <v>0</v>
      </c>
      <c r="J78" s="222">
        <v>0</v>
      </c>
      <c r="K78" s="220">
        <v>73</v>
      </c>
      <c r="L78" s="220">
        <v>0</v>
      </c>
      <c r="M78" s="220">
        <v>0</v>
      </c>
      <c r="N78" s="220">
        <v>0</v>
      </c>
      <c r="O78" s="220">
        <v>0</v>
      </c>
    </row>
    <row r="79" spans="1:15" ht="105" x14ac:dyDescent="0.25">
      <c r="A79" s="219" t="s">
        <v>190</v>
      </c>
      <c r="B79" s="220">
        <v>2</v>
      </c>
      <c r="C79" s="220">
        <v>2</v>
      </c>
      <c r="D79" s="220">
        <v>15</v>
      </c>
      <c r="E79" s="220">
        <v>8</v>
      </c>
      <c r="F79" s="220">
        <v>30</v>
      </c>
      <c r="G79" s="220">
        <v>23</v>
      </c>
      <c r="H79" s="222">
        <v>0</v>
      </c>
      <c r="I79" s="222">
        <v>0</v>
      </c>
      <c r="J79" s="222">
        <v>0</v>
      </c>
      <c r="K79" s="220">
        <v>19</v>
      </c>
      <c r="L79" s="220">
        <v>19</v>
      </c>
      <c r="M79" s="220">
        <v>100</v>
      </c>
      <c r="N79" s="220">
        <v>0</v>
      </c>
      <c r="O79" s="220">
        <v>0</v>
      </c>
    </row>
    <row r="80" spans="1:15" ht="90" x14ac:dyDescent="0.25">
      <c r="A80" s="219" t="s">
        <v>191</v>
      </c>
      <c r="B80" s="220">
        <v>1</v>
      </c>
      <c r="C80" s="220">
        <v>1</v>
      </c>
      <c r="D80" s="220">
        <v>15</v>
      </c>
      <c r="E80" s="220">
        <v>5</v>
      </c>
      <c r="F80" s="220">
        <v>90</v>
      </c>
      <c r="G80" s="220">
        <v>90</v>
      </c>
      <c r="H80" s="222">
        <v>0</v>
      </c>
      <c r="I80" s="222">
        <v>0</v>
      </c>
      <c r="J80" s="222">
        <v>0</v>
      </c>
      <c r="K80" s="220">
        <v>5</v>
      </c>
      <c r="L80" s="220">
        <v>0</v>
      </c>
      <c r="M80" s="220">
        <v>0</v>
      </c>
      <c r="N80" s="220">
        <v>0</v>
      </c>
      <c r="O80" s="220">
        <v>0</v>
      </c>
    </row>
    <row r="81" spans="1:15" ht="105" x14ac:dyDescent="0.25">
      <c r="A81" s="219" t="s">
        <v>192</v>
      </c>
      <c r="B81" s="220">
        <v>2</v>
      </c>
      <c r="C81" s="220">
        <v>0</v>
      </c>
      <c r="D81" s="220">
        <v>15</v>
      </c>
      <c r="E81" s="220">
        <v>0</v>
      </c>
      <c r="F81" s="220">
        <v>30</v>
      </c>
      <c r="G81" s="220">
        <v>0</v>
      </c>
      <c r="H81" s="222">
        <v>0</v>
      </c>
      <c r="I81" s="222">
        <v>0</v>
      </c>
      <c r="J81" s="222">
        <v>0</v>
      </c>
      <c r="K81" s="220">
        <v>14</v>
      </c>
      <c r="L81" s="220">
        <v>0</v>
      </c>
      <c r="M81" s="220">
        <v>0</v>
      </c>
      <c r="N81" s="220">
        <v>0</v>
      </c>
      <c r="O81" s="220">
        <v>0</v>
      </c>
    </row>
    <row r="82" spans="1:15" ht="135" x14ac:dyDescent="0.25">
      <c r="A82" s="219" t="s">
        <v>193</v>
      </c>
      <c r="B82" s="220">
        <v>1</v>
      </c>
      <c r="C82" s="220">
        <v>1</v>
      </c>
      <c r="D82" s="220">
        <v>15</v>
      </c>
      <c r="E82" s="220">
        <v>5</v>
      </c>
      <c r="F82" s="220">
        <v>20</v>
      </c>
      <c r="G82" s="220">
        <v>20</v>
      </c>
      <c r="H82" s="222">
        <v>0</v>
      </c>
      <c r="I82" s="222">
        <v>0</v>
      </c>
      <c r="J82" s="222">
        <v>0</v>
      </c>
      <c r="K82" s="220">
        <v>0</v>
      </c>
      <c r="L82" s="220">
        <v>0</v>
      </c>
      <c r="M82" s="220">
        <v>0</v>
      </c>
      <c r="N82" s="220">
        <v>0</v>
      </c>
      <c r="O82" s="220">
        <v>0</v>
      </c>
    </row>
    <row r="83" spans="1:15" ht="150" x14ac:dyDescent="0.25">
      <c r="A83" s="219" t="s">
        <v>194</v>
      </c>
      <c r="B83" s="220">
        <v>2</v>
      </c>
      <c r="C83" s="220">
        <v>1</v>
      </c>
      <c r="D83" s="220">
        <v>15</v>
      </c>
      <c r="E83" s="220">
        <v>3</v>
      </c>
      <c r="F83" s="220">
        <v>1</v>
      </c>
      <c r="G83" s="220">
        <v>1</v>
      </c>
      <c r="H83" s="222">
        <v>0</v>
      </c>
      <c r="I83" s="222">
        <v>0</v>
      </c>
      <c r="J83" s="222">
        <v>0</v>
      </c>
      <c r="K83" s="220">
        <v>14465</v>
      </c>
      <c r="L83" s="220">
        <v>0</v>
      </c>
      <c r="M83" s="220">
        <v>0</v>
      </c>
      <c r="N83" s="220">
        <v>12734</v>
      </c>
      <c r="O83" s="220">
        <v>88</v>
      </c>
    </row>
    <row r="84" spans="1:15" ht="75" x14ac:dyDescent="0.25">
      <c r="A84" s="219" t="s">
        <v>195</v>
      </c>
      <c r="B84" s="220">
        <v>2</v>
      </c>
      <c r="C84" s="220">
        <v>1</v>
      </c>
      <c r="D84" s="220">
        <v>15</v>
      </c>
      <c r="E84" s="220">
        <v>2</v>
      </c>
      <c r="F84" s="220">
        <v>1</v>
      </c>
      <c r="G84" s="220">
        <v>1</v>
      </c>
      <c r="H84" s="222">
        <v>0</v>
      </c>
      <c r="I84" s="226">
        <v>0</v>
      </c>
      <c r="J84" s="226">
        <v>0</v>
      </c>
      <c r="K84" s="220">
        <v>98</v>
      </c>
      <c r="L84" s="220">
        <v>0</v>
      </c>
      <c r="M84" s="220">
        <v>0</v>
      </c>
      <c r="N84" s="220">
        <v>66</v>
      </c>
      <c r="O84" s="220">
        <v>67.3</v>
      </c>
    </row>
    <row r="85" spans="1:15" ht="60" x14ac:dyDescent="0.25">
      <c r="A85" s="219" t="s">
        <v>196</v>
      </c>
      <c r="B85" s="220">
        <v>1</v>
      </c>
      <c r="C85" s="220">
        <v>0</v>
      </c>
      <c r="D85" s="220">
        <v>15</v>
      </c>
      <c r="E85" s="220">
        <v>0</v>
      </c>
      <c r="F85" s="220">
        <v>15</v>
      </c>
      <c r="G85" s="220">
        <v>0</v>
      </c>
      <c r="H85" s="222">
        <v>0</v>
      </c>
      <c r="I85" s="222">
        <v>0</v>
      </c>
      <c r="J85" s="222">
        <v>0</v>
      </c>
      <c r="K85" s="220">
        <v>0</v>
      </c>
    </row>
    <row r="86" spans="1:15" ht="75" x14ac:dyDescent="0.25">
      <c r="A86" s="219" t="s">
        <v>197</v>
      </c>
      <c r="B86" s="220">
        <v>1</v>
      </c>
      <c r="C86" s="220">
        <v>1</v>
      </c>
      <c r="D86" s="220">
        <v>15</v>
      </c>
      <c r="E86" s="220">
        <v>13</v>
      </c>
      <c r="F86" s="220">
        <v>19</v>
      </c>
      <c r="G86" s="220">
        <v>11</v>
      </c>
      <c r="H86" s="222">
        <v>0</v>
      </c>
      <c r="I86" s="222">
        <v>0</v>
      </c>
      <c r="J86" s="222">
        <v>0</v>
      </c>
      <c r="K86" s="220">
        <v>1436</v>
      </c>
      <c r="L86" s="220">
        <v>27</v>
      </c>
      <c r="M86" s="220">
        <v>1.9</v>
      </c>
      <c r="N86" s="220">
        <v>475</v>
      </c>
      <c r="O86" s="220">
        <v>33.1</v>
      </c>
    </row>
    <row r="87" spans="1:15" ht="105" x14ac:dyDescent="0.25">
      <c r="A87" s="219" t="s">
        <v>198</v>
      </c>
      <c r="B87" s="220">
        <v>3</v>
      </c>
      <c r="C87" s="220">
        <v>0</v>
      </c>
      <c r="D87" s="220">
        <v>15</v>
      </c>
      <c r="E87" s="220">
        <v>10</v>
      </c>
      <c r="F87" s="220">
        <v>7</v>
      </c>
      <c r="G87" s="220">
        <v>3</v>
      </c>
      <c r="H87" s="222">
        <v>0</v>
      </c>
      <c r="I87" s="222">
        <v>0</v>
      </c>
      <c r="J87" s="222">
        <v>0</v>
      </c>
      <c r="K87" s="220">
        <v>360</v>
      </c>
      <c r="L87" s="220">
        <v>0</v>
      </c>
      <c r="M87" s="220">
        <v>0</v>
      </c>
      <c r="N87" s="220">
        <v>0</v>
      </c>
      <c r="O87" s="220">
        <v>0</v>
      </c>
    </row>
    <row r="88" spans="1:15" ht="90" x14ac:dyDescent="0.25">
      <c r="A88" s="219" t="s">
        <v>199</v>
      </c>
      <c r="B88" s="220">
        <v>2</v>
      </c>
      <c r="C88" s="220">
        <v>0</v>
      </c>
      <c r="D88" s="220">
        <v>15</v>
      </c>
      <c r="E88" s="220">
        <v>14</v>
      </c>
      <c r="F88" s="220">
        <v>7</v>
      </c>
      <c r="G88" s="220">
        <v>3</v>
      </c>
      <c r="H88" s="222">
        <v>0</v>
      </c>
      <c r="I88" s="222">
        <v>0</v>
      </c>
      <c r="J88" s="222">
        <v>0</v>
      </c>
      <c r="K88" s="220">
        <v>307654</v>
      </c>
      <c r="L88" s="220">
        <v>0</v>
      </c>
      <c r="M88" s="220">
        <v>0</v>
      </c>
      <c r="N88" s="220">
        <v>307654</v>
      </c>
      <c r="O88" s="220">
        <v>100</v>
      </c>
    </row>
    <row r="89" spans="1:15" ht="135" x14ac:dyDescent="0.25">
      <c r="A89" s="219" t="s">
        <v>200</v>
      </c>
      <c r="B89" s="220">
        <v>2</v>
      </c>
      <c r="C89" s="220">
        <v>1</v>
      </c>
      <c r="D89" s="220">
        <v>10</v>
      </c>
      <c r="E89" s="220">
        <v>10</v>
      </c>
      <c r="F89" s="220">
        <v>30</v>
      </c>
      <c r="G89" s="220">
        <v>30</v>
      </c>
      <c r="H89" s="222">
        <v>0</v>
      </c>
      <c r="I89" s="222">
        <v>0</v>
      </c>
      <c r="J89" s="222">
        <v>0</v>
      </c>
      <c r="K89" s="220">
        <v>398</v>
      </c>
      <c r="L89" s="220">
        <v>0</v>
      </c>
      <c r="M89" s="220">
        <v>0</v>
      </c>
      <c r="N89" s="220">
        <v>83</v>
      </c>
      <c r="O89" s="220">
        <v>20.9</v>
      </c>
    </row>
    <row r="90" spans="1:15" ht="180" x14ac:dyDescent="0.25">
      <c r="A90" s="219" t="s">
        <v>201</v>
      </c>
      <c r="B90" s="220">
        <v>2</v>
      </c>
      <c r="C90" s="220">
        <v>0</v>
      </c>
      <c r="D90" s="220">
        <v>15</v>
      </c>
      <c r="E90" s="220">
        <v>3</v>
      </c>
      <c r="F90" s="220">
        <v>30</v>
      </c>
      <c r="G90" s="220">
        <v>8</v>
      </c>
      <c r="H90" s="222">
        <v>0</v>
      </c>
      <c r="I90" s="222">
        <v>0</v>
      </c>
      <c r="J90" s="222">
        <v>0</v>
      </c>
      <c r="K90" s="220">
        <v>0</v>
      </c>
      <c r="L90" s="220">
        <v>0</v>
      </c>
      <c r="M90" s="220">
        <v>0</v>
      </c>
      <c r="N90" s="220">
        <v>0</v>
      </c>
      <c r="O90" s="220">
        <v>0</v>
      </c>
    </row>
    <row r="91" spans="1:15" ht="90" x14ac:dyDescent="0.25">
      <c r="A91" s="219" t="s">
        <v>202</v>
      </c>
      <c r="B91" s="220">
        <v>2</v>
      </c>
      <c r="C91" s="220">
        <v>1</v>
      </c>
      <c r="D91" s="220">
        <v>15</v>
      </c>
      <c r="E91" s="220">
        <v>15</v>
      </c>
      <c r="F91" s="220">
        <v>7</v>
      </c>
      <c r="G91" s="220">
        <v>5</v>
      </c>
      <c r="H91" s="222">
        <v>0</v>
      </c>
      <c r="I91" s="222">
        <v>0</v>
      </c>
      <c r="J91" s="222">
        <v>0</v>
      </c>
      <c r="K91" s="220">
        <v>652</v>
      </c>
      <c r="L91" s="220">
        <v>98</v>
      </c>
      <c r="M91" s="220">
        <v>15</v>
      </c>
      <c r="N91" s="220">
        <v>0</v>
      </c>
      <c r="O91" s="220">
        <v>0</v>
      </c>
    </row>
    <row r="92" spans="1:15" ht="135" x14ac:dyDescent="0.25">
      <c r="A92" s="219" t="s">
        <v>203</v>
      </c>
      <c r="B92" s="220">
        <v>2</v>
      </c>
      <c r="C92" s="220">
        <v>4</v>
      </c>
      <c r="D92" s="220">
        <v>15</v>
      </c>
      <c r="E92" s="220">
        <v>5</v>
      </c>
      <c r="F92" s="220">
        <v>10</v>
      </c>
      <c r="G92" s="220">
        <v>10</v>
      </c>
      <c r="H92" s="222">
        <v>0</v>
      </c>
      <c r="I92" s="222">
        <v>0</v>
      </c>
      <c r="J92" s="222">
        <v>0</v>
      </c>
      <c r="K92" s="220">
        <v>1197</v>
      </c>
      <c r="L92" s="220">
        <v>142</v>
      </c>
      <c r="M92" s="220">
        <v>11.9</v>
      </c>
      <c r="N92" s="220">
        <v>276</v>
      </c>
      <c r="O92" s="220">
        <v>23.1</v>
      </c>
    </row>
  </sheetData>
  <mergeCells count="10">
    <mergeCell ref="B1:C1"/>
    <mergeCell ref="D1:E1"/>
    <mergeCell ref="F1:G1"/>
    <mergeCell ref="H1:H2"/>
    <mergeCell ref="O1:O2"/>
    <mergeCell ref="K1:K2"/>
    <mergeCell ref="L1:L2"/>
    <mergeCell ref="I1:J1"/>
    <mergeCell ref="M1:M2"/>
    <mergeCell ref="N1:N2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0"/>
  <sheetViews>
    <sheetView topLeftCell="A43" workbookViewId="0">
      <selection activeCell="U95" sqref="U95"/>
    </sheetView>
  </sheetViews>
  <sheetFormatPr defaultRowHeight="15.75" x14ac:dyDescent="0.25"/>
  <cols>
    <col min="1" max="2" width="5.28515625" style="2" customWidth="1"/>
    <col min="3" max="3" width="38.7109375" style="3" customWidth="1"/>
    <col min="4" max="4" width="11.28515625" hidden="1" customWidth="1"/>
    <col min="5" max="6" width="9" hidden="1" customWidth="1"/>
    <col min="7" max="7" width="11.28515625" hidden="1" customWidth="1"/>
    <col min="8" max="8" width="9.7109375" hidden="1" customWidth="1"/>
    <col min="9" max="9" width="11.28515625" hidden="1" customWidth="1"/>
    <col min="10" max="10" width="9.5703125" hidden="1" customWidth="1"/>
    <col min="11" max="11" width="10.5703125" hidden="1" customWidth="1"/>
    <col min="12" max="12" width="9.5703125" hidden="1" customWidth="1"/>
    <col min="13" max="13" width="10.5703125" hidden="1" customWidth="1"/>
    <col min="14" max="14" width="9.5703125" hidden="1" customWidth="1"/>
    <col min="15" max="16" width="9" hidden="1" customWidth="1"/>
    <col min="17" max="17" width="9.5703125" hidden="1" customWidth="1"/>
    <col min="18" max="18" width="10.42578125" hidden="1" customWidth="1"/>
    <col min="19" max="19" width="11.42578125" customWidth="1"/>
    <col min="20" max="20" width="11" customWidth="1"/>
    <col min="21" max="21" width="13.42578125" customWidth="1"/>
    <col min="22" max="22" width="12.7109375" customWidth="1"/>
    <col min="23" max="23" width="13.7109375" customWidth="1"/>
    <col min="24" max="24" width="11.28515625" bestFit="1" customWidth="1"/>
    <col min="25" max="26" width="9" bestFit="1" customWidth="1"/>
    <col min="27" max="27" width="13" bestFit="1" customWidth="1"/>
    <col min="28" max="28" width="10.42578125" bestFit="1" customWidth="1"/>
    <col min="29" max="29" width="11.28515625" bestFit="1" customWidth="1"/>
    <col min="30" max="30" width="11.7109375" customWidth="1"/>
    <col min="31" max="31" width="12.28515625" customWidth="1"/>
    <col min="32" max="32" width="13" bestFit="1" customWidth="1"/>
    <col min="33" max="33" width="13.28515625" customWidth="1"/>
  </cols>
  <sheetData>
    <row r="1" spans="1:35" ht="16.149999999999999" thickBot="1" x14ac:dyDescent="0.35"/>
    <row r="2" spans="1:35" ht="14.65" customHeight="1" thickBot="1" x14ac:dyDescent="0.3">
      <c r="A2" s="238" t="s">
        <v>0</v>
      </c>
      <c r="B2" s="54"/>
      <c r="C2" s="239" t="s">
        <v>1</v>
      </c>
      <c r="D2" s="233" t="s">
        <v>109</v>
      </c>
      <c r="E2" s="234"/>
      <c r="F2" s="234"/>
      <c r="G2" s="234"/>
      <c r="H2" s="235"/>
      <c r="I2" s="233" t="s">
        <v>108</v>
      </c>
      <c r="J2" s="234"/>
      <c r="K2" s="234"/>
      <c r="L2" s="234"/>
      <c r="M2" s="235"/>
      <c r="N2" s="233" t="s">
        <v>107</v>
      </c>
      <c r="O2" s="234"/>
      <c r="P2" s="234"/>
      <c r="Q2" s="234"/>
      <c r="R2" s="235"/>
      <c r="S2" s="233" t="s">
        <v>114</v>
      </c>
      <c r="T2" s="234"/>
      <c r="U2" s="234"/>
      <c r="V2" s="234"/>
      <c r="W2" s="235"/>
      <c r="X2" s="233" t="s">
        <v>115</v>
      </c>
      <c r="Y2" s="234"/>
      <c r="Z2" s="234"/>
      <c r="AA2" s="234"/>
      <c r="AB2" s="235"/>
      <c r="AC2" s="233" t="s">
        <v>116</v>
      </c>
      <c r="AD2" s="234"/>
      <c r="AE2" s="234"/>
      <c r="AF2" s="234"/>
      <c r="AG2" s="235"/>
    </row>
    <row r="3" spans="1:35" ht="60.75" thickBot="1" x14ac:dyDescent="0.3">
      <c r="A3" s="238"/>
      <c r="B3" s="55"/>
      <c r="C3" s="239"/>
      <c r="D3" s="7" t="s">
        <v>2</v>
      </c>
      <c r="E3" s="1" t="s">
        <v>3</v>
      </c>
      <c r="F3" s="1" t="s">
        <v>4</v>
      </c>
      <c r="G3" s="1" t="s">
        <v>5</v>
      </c>
      <c r="H3" s="8" t="s">
        <v>6</v>
      </c>
      <c r="I3" s="7" t="s">
        <v>2</v>
      </c>
      <c r="J3" s="1" t="s">
        <v>3</v>
      </c>
      <c r="K3" s="1" t="s">
        <v>4</v>
      </c>
      <c r="L3" s="1" t="s">
        <v>5</v>
      </c>
      <c r="M3" s="8" t="s">
        <v>6</v>
      </c>
      <c r="N3" s="7" t="s">
        <v>2</v>
      </c>
      <c r="O3" s="1" t="s">
        <v>3</v>
      </c>
      <c r="P3" s="1" t="s">
        <v>4</v>
      </c>
      <c r="Q3" s="1" t="s">
        <v>5</v>
      </c>
      <c r="R3" s="8" t="s">
        <v>6</v>
      </c>
      <c r="S3" s="7" t="s">
        <v>2</v>
      </c>
      <c r="T3" s="1" t="s">
        <v>3</v>
      </c>
      <c r="U3" s="1" t="s">
        <v>4</v>
      </c>
      <c r="V3" s="1" t="s">
        <v>5</v>
      </c>
      <c r="W3" s="8" t="s">
        <v>6</v>
      </c>
      <c r="X3" s="7" t="s">
        <v>2</v>
      </c>
      <c r="Y3" s="1" t="s">
        <v>3</v>
      </c>
      <c r="Z3" s="1" t="s">
        <v>4</v>
      </c>
      <c r="AA3" s="1" t="s">
        <v>5</v>
      </c>
      <c r="AB3" s="8" t="s">
        <v>6</v>
      </c>
      <c r="AC3" s="7" t="s">
        <v>2</v>
      </c>
      <c r="AD3" s="1" t="s">
        <v>3</v>
      </c>
      <c r="AE3" s="1" t="s">
        <v>4</v>
      </c>
      <c r="AF3" s="1" t="s">
        <v>5</v>
      </c>
      <c r="AG3" s="8" t="s">
        <v>6</v>
      </c>
    </row>
    <row r="4" spans="1:35" ht="104.65" customHeight="1" thickBot="1" x14ac:dyDescent="0.35">
      <c r="A4" s="9">
        <v>77</v>
      </c>
      <c r="B4" s="9" t="s">
        <v>104</v>
      </c>
      <c r="C4" s="12" t="s">
        <v>82</v>
      </c>
      <c r="D4" s="24">
        <v>83</v>
      </c>
      <c r="E4" s="25">
        <v>0</v>
      </c>
      <c r="F4" s="26">
        <f>E4*100/D4</f>
        <v>0</v>
      </c>
      <c r="G4" s="25">
        <v>83</v>
      </c>
      <c r="H4" s="27">
        <f>G4*100/D4</f>
        <v>100</v>
      </c>
      <c r="I4" s="24">
        <v>56</v>
      </c>
      <c r="J4" s="29">
        <v>0</v>
      </c>
      <c r="K4" s="28">
        <f>J4*100/I4</f>
        <v>0</v>
      </c>
      <c r="L4" s="29">
        <v>0</v>
      </c>
      <c r="M4" s="30">
        <f>L4*100/I4</f>
        <v>0</v>
      </c>
      <c r="N4" s="31">
        <v>259</v>
      </c>
      <c r="O4" s="29">
        <v>0</v>
      </c>
      <c r="P4" s="28">
        <f>O4*100/N4</f>
        <v>0</v>
      </c>
      <c r="Q4" s="29">
        <v>0</v>
      </c>
      <c r="R4" s="30">
        <f>Q4*100/N4</f>
        <v>0</v>
      </c>
      <c r="S4" s="31">
        <f t="shared" ref="S4:S26" si="0">SUM(D4,I4,N4)</f>
        <v>398</v>
      </c>
      <c r="T4" s="31">
        <f t="shared" ref="T4:T26" si="1">SUM(E4,J4,O4)</f>
        <v>0</v>
      </c>
      <c r="U4" s="28">
        <f>T4*100/S4</f>
        <v>0</v>
      </c>
      <c r="V4" s="31">
        <f t="shared" ref="V4:V26" si="2">SUM(G4,L4,Q4)</f>
        <v>83</v>
      </c>
      <c r="W4" s="30">
        <f>V4*100/S4</f>
        <v>20.854271356783919</v>
      </c>
      <c r="X4" s="31">
        <v>172</v>
      </c>
      <c r="Y4" s="29">
        <v>0</v>
      </c>
      <c r="Z4" s="28">
        <f>Y4*100/X4</f>
        <v>0</v>
      </c>
      <c r="AA4" s="29">
        <v>172</v>
      </c>
      <c r="AB4" s="30">
        <f>AA4*100/X4</f>
        <v>100</v>
      </c>
      <c r="AC4" s="31">
        <f t="shared" ref="AC4:AC26" si="3">S4+X4</f>
        <v>570</v>
      </c>
      <c r="AD4" s="31">
        <f t="shared" ref="AD4:AD26" si="4">T4+Y4</f>
        <v>0</v>
      </c>
      <c r="AE4" s="28">
        <f>AD4*100/AC4</f>
        <v>0</v>
      </c>
      <c r="AF4" s="31">
        <f t="shared" ref="AF4:AF26" si="5">V4+AA4</f>
        <v>255</v>
      </c>
      <c r="AG4" s="30">
        <f>AF4*100/AC4</f>
        <v>44.736842105263158</v>
      </c>
      <c r="AH4" s="4"/>
      <c r="AI4" s="4"/>
    </row>
    <row r="5" spans="1:35" ht="135" customHeight="1" thickBot="1" x14ac:dyDescent="0.35">
      <c r="A5" s="9">
        <v>78</v>
      </c>
      <c r="B5" s="9" t="s">
        <v>104</v>
      </c>
      <c r="C5" s="12" t="s">
        <v>83</v>
      </c>
      <c r="D5" s="24">
        <v>0</v>
      </c>
      <c r="E5" s="25">
        <v>0</v>
      </c>
      <c r="F5" s="26"/>
      <c r="G5" s="25">
        <v>0</v>
      </c>
      <c r="H5" s="27"/>
      <c r="I5" s="24">
        <v>0</v>
      </c>
      <c r="J5" s="29">
        <v>0</v>
      </c>
      <c r="K5" s="28"/>
      <c r="L5" s="29">
        <v>0</v>
      </c>
      <c r="M5" s="30"/>
      <c r="N5" s="31">
        <v>0</v>
      </c>
      <c r="O5" s="29">
        <v>0</v>
      </c>
      <c r="P5" s="28"/>
      <c r="Q5" s="29">
        <v>0</v>
      </c>
      <c r="R5" s="30"/>
      <c r="S5" s="31">
        <f t="shared" si="0"/>
        <v>0</v>
      </c>
      <c r="T5" s="31">
        <f t="shared" si="1"/>
        <v>0</v>
      </c>
      <c r="U5" s="28">
        <v>0</v>
      </c>
      <c r="V5" s="31">
        <f t="shared" si="2"/>
        <v>0</v>
      </c>
      <c r="W5" s="30">
        <v>0</v>
      </c>
      <c r="X5" s="31">
        <v>0</v>
      </c>
      <c r="Y5" s="29">
        <v>0</v>
      </c>
      <c r="Z5" s="28"/>
      <c r="AA5" s="29">
        <v>0</v>
      </c>
      <c r="AB5" s="30"/>
      <c r="AC5" s="31">
        <f t="shared" si="3"/>
        <v>0</v>
      </c>
      <c r="AD5" s="31">
        <f t="shared" si="4"/>
        <v>0</v>
      </c>
      <c r="AE5" s="28">
        <v>0</v>
      </c>
      <c r="AF5" s="31">
        <f t="shared" si="5"/>
        <v>0</v>
      </c>
      <c r="AG5" s="30">
        <v>0</v>
      </c>
      <c r="AH5" s="4"/>
      <c r="AI5" s="4"/>
    </row>
    <row r="6" spans="1:35" ht="84.75" customHeight="1" thickBot="1" x14ac:dyDescent="0.35">
      <c r="A6" s="9">
        <v>79</v>
      </c>
      <c r="B6" s="9" t="s">
        <v>104</v>
      </c>
      <c r="C6" s="12" t="s">
        <v>84</v>
      </c>
      <c r="D6" s="24">
        <v>0</v>
      </c>
      <c r="E6" s="25">
        <v>0</v>
      </c>
      <c r="F6" s="26"/>
      <c r="G6" s="25">
        <v>0</v>
      </c>
      <c r="H6" s="27"/>
      <c r="I6" s="24">
        <v>10</v>
      </c>
      <c r="J6" s="29">
        <v>0</v>
      </c>
      <c r="K6" s="28">
        <f t="shared" ref="K6:K11" si="6">J6*100/I6</f>
        <v>0</v>
      </c>
      <c r="L6" s="29">
        <v>0</v>
      </c>
      <c r="M6" s="30">
        <f t="shared" ref="M6:M11" si="7">L6*100/I6</f>
        <v>0</v>
      </c>
      <c r="N6" s="31">
        <v>350</v>
      </c>
      <c r="O6" s="29">
        <v>0</v>
      </c>
      <c r="P6" s="28">
        <f>O6*100/N6</f>
        <v>0</v>
      </c>
      <c r="Q6" s="29">
        <v>0</v>
      </c>
      <c r="R6" s="30">
        <f>Q6*100/N6</f>
        <v>0</v>
      </c>
      <c r="S6" s="31">
        <f t="shared" si="0"/>
        <v>360</v>
      </c>
      <c r="T6" s="31">
        <f t="shared" si="1"/>
        <v>0</v>
      </c>
      <c r="U6" s="28">
        <f t="shared" ref="U6:U11" si="8">T6*100/S6</f>
        <v>0</v>
      </c>
      <c r="V6" s="31">
        <f t="shared" si="2"/>
        <v>0</v>
      </c>
      <c r="W6" s="30">
        <f t="shared" ref="W6:W11" si="9">V6*100/S6</f>
        <v>0</v>
      </c>
      <c r="X6" s="31">
        <v>0</v>
      </c>
      <c r="Y6" s="29">
        <v>0</v>
      </c>
      <c r="Z6" s="28"/>
      <c r="AA6" s="29">
        <v>0</v>
      </c>
      <c r="AB6" s="30"/>
      <c r="AC6" s="31">
        <f t="shared" si="3"/>
        <v>360</v>
      </c>
      <c r="AD6" s="31">
        <f t="shared" si="4"/>
        <v>0</v>
      </c>
      <c r="AE6" s="28">
        <f t="shared" ref="AE6:AE11" si="10">AD6*100/AC6</f>
        <v>0</v>
      </c>
      <c r="AF6" s="31">
        <f t="shared" si="5"/>
        <v>0</v>
      </c>
      <c r="AG6" s="30">
        <f t="shared" ref="AG6:AG11" si="11">AF6*100/AC6</f>
        <v>0</v>
      </c>
      <c r="AH6" s="4"/>
      <c r="AI6" s="4"/>
    </row>
    <row r="7" spans="1:35" ht="66" customHeight="1" thickBot="1" x14ac:dyDescent="0.35">
      <c r="A7" s="9">
        <v>80</v>
      </c>
      <c r="B7" s="9" t="s">
        <v>104</v>
      </c>
      <c r="C7" s="12" t="s">
        <v>85</v>
      </c>
      <c r="D7" s="24">
        <v>13375</v>
      </c>
      <c r="E7" s="25">
        <v>0</v>
      </c>
      <c r="F7" s="26">
        <f>E7*100/D7</f>
        <v>0</v>
      </c>
      <c r="G7" s="25">
        <v>13375</v>
      </c>
      <c r="H7" s="27">
        <f>G7*100/D7</f>
        <v>100</v>
      </c>
      <c r="I7" s="24">
        <v>3748</v>
      </c>
      <c r="J7" s="29">
        <v>0</v>
      </c>
      <c r="K7" s="28">
        <f t="shared" si="6"/>
        <v>0</v>
      </c>
      <c r="L7" s="29">
        <v>3748</v>
      </c>
      <c r="M7" s="30">
        <f t="shared" si="7"/>
        <v>100</v>
      </c>
      <c r="N7" s="31">
        <v>1098</v>
      </c>
      <c r="O7" s="29">
        <v>0</v>
      </c>
      <c r="P7" s="28">
        <f>O7*100/N7</f>
        <v>0</v>
      </c>
      <c r="Q7" s="29">
        <v>1098</v>
      </c>
      <c r="R7" s="30">
        <f>Q7*100/N7</f>
        <v>100</v>
      </c>
      <c r="S7" s="31">
        <f t="shared" si="0"/>
        <v>18221</v>
      </c>
      <c r="T7" s="31">
        <f t="shared" si="1"/>
        <v>0</v>
      </c>
      <c r="U7" s="28">
        <f t="shared" si="8"/>
        <v>0</v>
      </c>
      <c r="V7" s="31">
        <f t="shared" si="2"/>
        <v>18221</v>
      </c>
      <c r="W7" s="30">
        <f t="shared" si="9"/>
        <v>100</v>
      </c>
      <c r="X7" s="31">
        <v>13375</v>
      </c>
      <c r="Y7" s="29">
        <v>0</v>
      </c>
      <c r="Z7" s="28">
        <f>Y7*100/X7</f>
        <v>0</v>
      </c>
      <c r="AA7" s="29">
        <v>13375</v>
      </c>
      <c r="AB7" s="30">
        <f>AA7*100/X7</f>
        <v>100</v>
      </c>
      <c r="AC7" s="31">
        <f t="shared" si="3"/>
        <v>31596</v>
      </c>
      <c r="AD7" s="31">
        <f t="shared" si="4"/>
        <v>0</v>
      </c>
      <c r="AE7" s="28">
        <f t="shared" si="10"/>
        <v>0</v>
      </c>
      <c r="AF7" s="31">
        <f t="shared" si="5"/>
        <v>31596</v>
      </c>
      <c r="AG7" s="30">
        <f t="shared" si="11"/>
        <v>100</v>
      </c>
      <c r="AH7" s="4"/>
      <c r="AI7" s="4"/>
    </row>
    <row r="8" spans="1:35" ht="32.25" thickBot="1" x14ac:dyDescent="0.35">
      <c r="A8" s="10">
        <v>81</v>
      </c>
      <c r="B8" s="10" t="s">
        <v>104</v>
      </c>
      <c r="C8" s="11" t="s">
        <v>86</v>
      </c>
      <c r="D8" s="20">
        <v>1126</v>
      </c>
      <c r="E8" s="21">
        <v>27</v>
      </c>
      <c r="F8" s="22">
        <f>E8*100/D8</f>
        <v>2.3978685612788633</v>
      </c>
      <c r="G8" s="21">
        <v>475</v>
      </c>
      <c r="H8" s="23">
        <f>G8*100/D8</f>
        <v>42.184724689165186</v>
      </c>
      <c r="I8" s="20">
        <v>110</v>
      </c>
      <c r="J8" s="21">
        <v>0</v>
      </c>
      <c r="K8" s="22">
        <f t="shared" si="6"/>
        <v>0</v>
      </c>
      <c r="L8" s="21">
        <v>0</v>
      </c>
      <c r="M8" s="23">
        <f t="shared" si="7"/>
        <v>0</v>
      </c>
      <c r="N8" s="20">
        <v>200</v>
      </c>
      <c r="O8" s="21">
        <v>0</v>
      </c>
      <c r="P8" s="22">
        <f>O8*100/N8</f>
        <v>0</v>
      </c>
      <c r="Q8" s="21">
        <v>0</v>
      </c>
      <c r="R8" s="23">
        <f>Q8*100/N8</f>
        <v>0</v>
      </c>
      <c r="S8" s="20">
        <f t="shared" si="0"/>
        <v>1436</v>
      </c>
      <c r="T8" s="20">
        <f t="shared" si="1"/>
        <v>27</v>
      </c>
      <c r="U8" s="22">
        <f t="shared" si="8"/>
        <v>1.8802228412256268</v>
      </c>
      <c r="V8" s="20">
        <f t="shared" si="2"/>
        <v>475</v>
      </c>
      <c r="W8" s="23">
        <f t="shared" si="9"/>
        <v>33.077994428969362</v>
      </c>
      <c r="X8" s="20">
        <v>0</v>
      </c>
      <c r="Y8" s="21">
        <v>0</v>
      </c>
      <c r="Z8" s="22"/>
      <c r="AA8" s="21">
        <v>0</v>
      </c>
      <c r="AB8" s="23"/>
      <c r="AC8" s="20">
        <f t="shared" si="3"/>
        <v>1436</v>
      </c>
      <c r="AD8" s="20">
        <f t="shared" si="4"/>
        <v>27</v>
      </c>
      <c r="AE8" s="22">
        <f t="shared" si="10"/>
        <v>1.8802228412256268</v>
      </c>
      <c r="AF8" s="20">
        <f t="shared" si="5"/>
        <v>475</v>
      </c>
      <c r="AG8" s="23">
        <f t="shared" si="11"/>
        <v>33.077994428969362</v>
      </c>
    </row>
    <row r="9" spans="1:35" ht="37.5" customHeight="1" thickBot="1" x14ac:dyDescent="0.35">
      <c r="A9" s="10">
        <v>82</v>
      </c>
      <c r="B9" s="10" t="s">
        <v>104</v>
      </c>
      <c r="C9" s="11" t="s">
        <v>87</v>
      </c>
      <c r="D9" s="20">
        <v>0</v>
      </c>
      <c r="E9" s="21">
        <v>0</v>
      </c>
      <c r="F9" s="22"/>
      <c r="G9" s="21">
        <v>0</v>
      </c>
      <c r="H9" s="23"/>
      <c r="I9" s="20">
        <v>98</v>
      </c>
      <c r="J9" s="21">
        <v>98</v>
      </c>
      <c r="K9" s="22">
        <f t="shared" si="6"/>
        <v>100</v>
      </c>
      <c r="L9" s="21">
        <v>0</v>
      </c>
      <c r="M9" s="23">
        <f t="shared" si="7"/>
        <v>0</v>
      </c>
      <c r="N9" s="20">
        <v>0</v>
      </c>
      <c r="O9" s="21">
        <v>0</v>
      </c>
      <c r="P9" s="22"/>
      <c r="Q9" s="21">
        <v>0</v>
      </c>
      <c r="R9" s="23"/>
      <c r="S9" s="20">
        <f t="shared" si="0"/>
        <v>98</v>
      </c>
      <c r="T9" s="20">
        <f t="shared" si="1"/>
        <v>98</v>
      </c>
      <c r="U9" s="22">
        <f t="shared" si="8"/>
        <v>100</v>
      </c>
      <c r="V9" s="20">
        <f t="shared" si="2"/>
        <v>0</v>
      </c>
      <c r="W9" s="23">
        <f t="shared" si="9"/>
        <v>0</v>
      </c>
      <c r="X9" s="20">
        <v>0</v>
      </c>
      <c r="Y9" s="21">
        <v>0</v>
      </c>
      <c r="Z9" s="22"/>
      <c r="AA9" s="21">
        <v>0</v>
      </c>
      <c r="AB9" s="23"/>
      <c r="AC9" s="20">
        <f t="shared" si="3"/>
        <v>98</v>
      </c>
      <c r="AD9" s="20">
        <f t="shared" si="4"/>
        <v>98</v>
      </c>
      <c r="AE9" s="22">
        <f t="shared" si="10"/>
        <v>100</v>
      </c>
      <c r="AF9" s="20">
        <f t="shared" si="5"/>
        <v>0</v>
      </c>
      <c r="AG9" s="23">
        <f t="shared" si="11"/>
        <v>0</v>
      </c>
    </row>
    <row r="10" spans="1:35" ht="99.6" customHeight="1" thickBot="1" x14ac:dyDescent="0.35">
      <c r="A10" s="10">
        <v>83</v>
      </c>
      <c r="B10" s="10" t="s">
        <v>104</v>
      </c>
      <c r="C10" s="11" t="s">
        <v>88</v>
      </c>
      <c r="D10" s="20">
        <v>334</v>
      </c>
      <c r="E10" s="21">
        <v>31</v>
      </c>
      <c r="F10" s="22">
        <f>E10*100/D10</f>
        <v>9.2814371257485035</v>
      </c>
      <c r="G10" s="21">
        <v>108</v>
      </c>
      <c r="H10" s="23">
        <f>G10*100/D10</f>
        <v>32.335329341317369</v>
      </c>
      <c r="I10" s="20">
        <v>310</v>
      </c>
      <c r="J10" s="21">
        <v>43</v>
      </c>
      <c r="K10" s="22">
        <f t="shared" si="6"/>
        <v>13.870967741935484</v>
      </c>
      <c r="L10" s="21">
        <v>44</v>
      </c>
      <c r="M10" s="23">
        <f t="shared" si="7"/>
        <v>14.193548387096774</v>
      </c>
      <c r="N10" s="20">
        <v>403</v>
      </c>
      <c r="O10" s="21">
        <v>39</v>
      </c>
      <c r="P10" s="22">
        <f>O10*100/N10</f>
        <v>9.67741935483871</v>
      </c>
      <c r="Q10" s="21">
        <v>119</v>
      </c>
      <c r="R10" s="23">
        <f>Q10*100/N10</f>
        <v>29.528535980148884</v>
      </c>
      <c r="S10" s="20">
        <f t="shared" si="0"/>
        <v>1047</v>
      </c>
      <c r="T10" s="20">
        <f t="shared" si="1"/>
        <v>113</v>
      </c>
      <c r="U10" s="22">
        <f t="shared" si="8"/>
        <v>10.792741165234002</v>
      </c>
      <c r="V10" s="20">
        <f t="shared" si="2"/>
        <v>271</v>
      </c>
      <c r="W10" s="23">
        <f t="shared" si="9"/>
        <v>25.883476599808979</v>
      </c>
      <c r="X10" s="20">
        <v>294</v>
      </c>
      <c r="Y10" s="21">
        <v>24</v>
      </c>
      <c r="Z10" s="22">
        <f>Y10*100/X10</f>
        <v>8.1632653061224492</v>
      </c>
      <c r="AA10" s="21">
        <v>85</v>
      </c>
      <c r="AB10" s="23">
        <f>AA10*100/X10</f>
        <v>28.911564625850339</v>
      </c>
      <c r="AC10" s="20">
        <f t="shared" si="3"/>
        <v>1341</v>
      </c>
      <c r="AD10" s="20">
        <f t="shared" si="4"/>
        <v>137</v>
      </c>
      <c r="AE10" s="22">
        <f t="shared" si="10"/>
        <v>10.216256524981358</v>
      </c>
      <c r="AF10" s="20">
        <f t="shared" si="5"/>
        <v>356</v>
      </c>
      <c r="AG10" s="23">
        <f t="shared" si="11"/>
        <v>26.547352721849368</v>
      </c>
    </row>
    <row r="11" spans="1:35" ht="48" thickBot="1" x14ac:dyDescent="0.35">
      <c r="A11" s="9">
        <v>73</v>
      </c>
      <c r="B11" s="9" t="s">
        <v>103</v>
      </c>
      <c r="C11" s="12" t="s">
        <v>78</v>
      </c>
      <c r="D11" s="24">
        <v>41</v>
      </c>
      <c r="E11" s="25">
        <v>0</v>
      </c>
      <c r="F11" s="26">
        <f>E11*100/D11</f>
        <v>0</v>
      </c>
      <c r="G11" s="25">
        <v>27</v>
      </c>
      <c r="H11" s="27">
        <f>G11*100/D11</f>
        <v>65.853658536585371</v>
      </c>
      <c r="I11" s="24">
        <v>10</v>
      </c>
      <c r="J11" s="29">
        <v>0</v>
      </c>
      <c r="K11" s="28">
        <f t="shared" si="6"/>
        <v>0</v>
      </c>
      <c r="L11" s="29">
        <v>0</v>
      </c>
      <c r="M11" s="30">
        <f t="shared" si="7"/>
        <v>0</v>
      </c>
      <c r="N11" s="31">
        <v>16</v>
      </c>
      <c r="O11" s="29">
        <v>0</v>
      </c>
      <c r="P11" s="28">
        <f>O11*100/N11</f>
        <v>0</v>
      </c>
      <c r="Q11" s="29">
        <v>0</v>
      </c>
      <c r="R11" s="30">
        <f>Q11*100/N11</f>
        <v>0</v>
      </c>
      <c r="S11" s="31">
        <f t="shared" si="0"/>
        <v>67</v>
      </c>
      <c r="T11" s="31">
        <f t="shared" si="1"/>
        <v>0</v>
      </c>
      <c r="U11" s="28">
        <f t="shared" si="8"/>
        <v>0</v>
      </c>
      <c r="V11" s="31">
        <f t="shared" si="2"/>
        <v>27</v>
      </c>
      <c r="W11" s="30">
        <f t="shared" si="9"/>
        <v>40.298507462686565</v>
      </c>
      <c r="X11" s="31">
        <v>10</v>
      </c>
      <c r="Y11" s="29">
        <v>0</v>
      </c>
      <c r="Z11" s="28">
        <f>Y11*100/X11</f>
        <v>0</v>
      </c>
      <c r="AA11" s="29">
        <v>10</v>
      </c>
      <c r="AB11" s="30">
        <f>AA11*100/X11</f>
        <v>100</v>
      </c>
      <c r="AC11" s="31">
        <f t="shared" si="3"/>
        <v>77</v>
      </c>
      <c r="AD11" s="31">
        <f t="shared" si="4"/>
        <v>0</v>
      </c>
      <c r="AE11" s="28">
        <f t="shared" si="10"/>
        <v>0</v>
      </c>
      <c r="AF11" s="31">
        <f t="shared" si="5"/>
        <v>37</v>
      </c>
      <c r="AG11" s="30">
        <f t="shared" si="11"/>
        <v>48.051948051948052</v>
      </c>
      <c r="AH11" s="4"/>
      <c r="AI11" s="4"/>
    </row>
    <row r="12" spans="1:35" ht="32.25" thickBot="1" x14ac:dyDescent="0.35">
      <c r="A12" s="9">
        <v>74</v>
      </c>
      <c r="B12" s="9" t="s">
        <v>103</v>
      </c>
      <c r="C12" s="12" t="s">
        <v>79</v>
      </c>
      <c r="D12" s="24">
        <v>0</v>
      </c>
      <c r="E12" s="25">
        <v>0</v>
      </c>
      <c r="F12" s="26"/>
      <c r="G12" s="25">
        <v>0</v>
      </c>
      <c r="H12" s="27"/>
      <c r="I12" s="24">
        <v>0</v>
      </c>
      <c r="J12" s="29">
        <v>0</v>
      </c>
      <c r="K12" s="28"/>
      <c r="L12" s="29">
        <v>0</v>
      </c>
      <c r="M12" s="30"/>
      <c r="N12" s="31">
        <v>0</v>
      </c>
      <c r="O12" s="29">
        <v>0</v>
      </c>
      <c r="P12" s="28"/>
      <c r="Q12" s="29">
        <v>0</v>
      </c>
      <c r="R12" s="30"/>
      <c r="S12" s="31">
        <f t="shared" si="0"/>
        <v>0</v>
      </c>
      <c r="T12" s="31">
        <f t="shared" si="1"/>
        <v>0</v>
      </c>
      <c r="U12" s="28">
        <v>0</v>
      </c>
      <c r="V12" s="31">
        <f t="shared" si="2"/>
        <v>0</v>
      </c>
      <c r="W12" s="30">
        <v>0</v>
      </c>
      <c r="X12" s="31">
        <v>0</v>
      </c>
      <c r="Y12" s="29">
        <v>0</v>
      </c>
      <c r="Z12" s="28"/>
      <c r="AA12" s="29">
        <v>0</v>
      </c>
      <c r="AB12" s="30"/>
      <c r="AC12" s="31">
        <f t="shared" si="3"/>
        <v>0</v>
      </c>
      <c r="AD12" s="31">
        <f t="shared" si="4"/>
        <v>0</v>
      </c>
      <c r="AE12" s="28">
        <v>0</v>
      </c>
      <c r="AF12" s="31">
        <f t="shared" si="5"/>
        <v>0</v>
      </c>
      <c r="AG12" s="30">
        <v>0</v>
      </c>
      <c r="AH12" s="4"/>
      <c r="AI12" s="4"/>
    </row>
    <row r="13" spans="1:35" ht="111" thickBot="1" x14ac:dyDescent="0.35">
      <c r="A13" s="9">
        <v>75</v>
      </c>
      <c r="B13" s="9" t="s">
        <v>103</v>
      </c>
      <c r="C13" s="12" t="s">
        <v>80</v>
      </c>
      <c r="D13" s="24">
        <v>4047</v>
      </c>
      <c r="E13" s="25">
        <v>0</v>
      </c>
      <c r="F13" s="26">
        <f>E13*100/D13</f>
        <v>0</v>
      </c>
      <c r="G13" s="25">
        <v>3223</v>
      </c>
      <c r="H13" s="27">
        <f>G13*100/D13</f>
        <v>79.639238942426488</v>
      </c>
      <c r="I13" s="24">
        <v>2403</v>
      </c>
      <c r="J13" s="29">
        <v>0</v>
      </c>
      <c r="K13" s="28">
        <f>J13*100/I13</f>
        <v>0</v>
      </c>
      <c r="L13" s="29">
        <v>2267</v>
      </c>
      <c r="M13" s="30">
        <f>L13*100/I13</f>
        <v>94.340407823553889</v>
      </c>
      <c r="N13" s="31">
        <v>3801</v>
      </c>
      <c r="O13" s="29">
        <v>0</v>
      </c>
      <c r="P13" s="28">
        <f>O13*100/N13</f>
        <v>0</v>
      </c>
      <c r="Q13" s="29">
        <v>3542</v>
      </c>
      <c r="R13" s="30">
        <f>Q13*100/N13</f>
        <v>93.186003683241253</v>
      </c>
      <c r="S13" s="31">
        <f t="shared" si="0"/>
        <v>10251</v>
      </c>
      <c r="T13" s="31">
        <f t="shared" si="1"/>
        <v>0</v>
      </c>
      <c r="U13" s="28">
        <f>T13*100/S13</f>
        <v>0</v>
      </c>
      <c r="V13" s="31">
        <f t="shared" si="2"/>
        <v>9032</v>
      </c>
      <c r="W13" s="30">
        <f>V13*100/S13</f>
        <v>88.108477221734461</v>
      </c>
      <c r="X13" s="31">
        <v>3330</v>
      </c>
      <c r="Y13" s="29">
        <v>0</v>
      </c>
      <c r="Z13" s="28">
        <f>Y13*100/X13</f>
        <v>0</v>
      </c>
      <c r="AA13" s="29">
        <v>3330</v>
      </c>
      <c r="AB13" s="30">
        <f>AA13*100/X13</f>
        <v>100</v>
      </c>
      <c r="AC13" s="31">
        <f t="shared" si="3"/>
        <v>13581</v>
      </c>
      <c r="AD13" s="31">
        <f t="shared" si="4"/>
        <v>0</v>
      </c>
      <c r="AE13" s="28">
        <f>AD13*100/AC13</f>
        <v>0</v>
      </c>
      <c r="AF13" s="31">
        <f t="shared" si="5"/>
        <v>12362</v>
      </c>
      <c r="AG13" s="30">
        <f>AF13*100/AC13</f>
        <v>91.024225020248878</v>
      </c>
      <c r="AH13" s="4"/>
      <c r="AI13" s="4"/>
    </row>
    <row r="14" spans="1:35" ht="63.75" thickBot="1" x14ac:dyDescent="0.35">
      <c r="A14" s="9">
        <v>76</v>
      </c>
      <c r="B14" s="9" t="s">
        <v>103</v>
      </c>
      <c r="C14" s="12" t="s">
        <v>81</v>
      </c>
      <c r="D14" s="24">
        <v>0</v>
      </c>
      <c r="E14" s="25">
        <v>0</v>
      </c>
      <c r="F14" s="26"/>
      <c r="G14" s="25">
        <v>0</v>
      </c>
      <c r="H14" s="27"/>
      <c r="I14" s="24">
        <v>0</v>
      </c>
      <c r="J14" s="29">
        <v>0</v>
      </c>
      <c r="K14" s="28"/>
      <c r="L14" s="29">
        <v>0</v>
      </c>
      <c r="M14" s="30"/>
      <c r="N14" s="31">
        <v>0</v>
      </c>
      <c r="O14" s="29">
        <v>0</v>
      </c>
      <c r="P14" s="28"/>
      <c r="Q14" s="29">
        <v>0</v>
      </c>
      <c r="R14" s="30"/>
      <c r="S14" s="31">
        <f t="shared" si="0"/>
        <v>0</v>
      </c>
      <c r="T14" s="31">
        <f t="shared" si="1"/>
        <v>0</v>
      </c>
      <c r="U14" s="28">
        <v>0</v>
      </c>
      <c r="V14" s="31">
        <f t="shared" si="2"/>
        <v>0</v>
      </c>
      <c r="W14" s="30">
        <v>0</v>
      </c>
      <c r="X14" s="31">
        <v>0</v>
      </c>
      <c r="Y14" s="29">
        <v>0</v>
      </c>
      <c r="Z14" s="28"/>
      <c r="AA14" s="29">
        <v>0</v>
      </c>
      <c r="AB14" s="30"/>
      <c r="AC14" s="31">
        <f t="shared" si="3"/>
        <v>0</v>
      </c>
      <c r="AD14" s="31">
        <f t="shared" si="4"/>
        <v>0</v>
      </c>
      <c r="AE14" s="28">
        <v>0</v>
      </c>
      <c r="AF14" s="31">
        <f t="shared" si="5"/>
        <v>0</v>
      </c>
      <c r="AG14" s="30">
        <v>0</v>
      </c>
      <c r="AH14" s="4"/>
      <c r="AI14" s="4"/>
    </row>
    <row r="15" spans="1:35" ht="35.1" customHeight="1" thickBot="1" x14ac:dyDescent="0.35">
      <c r="A15" s="56">
        <v>1</v>
      </c>
      <c r="B15" s="53" t="s">
        <v>91</v>
      </c>
      <c r="C15" s="11" t="s">
        <v>7</v>
      </c>
      <c r="D15" s="20">
        <v>159</v>
      </c>
      <c r="E15" s="21">
        <v>2</v>
      </c>
      <c r="F15" s="22">
        <f t="shared" ref="F15:F25" si="12">E15*100/D15</f>
        <v>1.2578616352201257</v>
      </c>
      <c r="G15" s="21">
        <v>3</v>
      </c>
      <c r="H15" s="23">
        <f t="shared" ref="H15:H25" si="13">G15*100/D15</f>
        <v>1.8867924528301887</v>
      </c>
      <c r="I15" s="20">
        <v>207</v>
      </c>
      <c r="J15" s="21">
        <v>3</v>
      </c>
      <c r="K15" s="22">
        <f t="shared" ref="K15:K22" si="14">J15*100/I15</f>
        <v>1.4492753623188406</v>
      </c>
      <c r="L15" s="21">
        <v>0</v>
      </c>
      <c r="M15" s="23">
        <f t="shared" ref="M15:M22" si="15">L15*100/I15</f>
        <v>0</v>
      </c>
      <c r="N15" s="20">
        <v>152</v>
      </c>
      <c r="O15" s="21">
        <v>1</v>
      </c>
      <c r="P15" s="22">
        <f t="shared" ref="P15:P26" si="16">O15*100/N15</f>
        <v>0.65789473684210531</v>
      </c>
      <c r="Q15" s="21">
        <v>3</v>
      </c>
      <c r="R15" s="23">
        <f t="shared" ref="R15:R79" si="17">Q15*100/N15</f>
        <v>1.9736842105263157</v>
      </c>
      <c r="S15" s="20">
        <f t="shared" si="0"/>
        <v>518</v>
      </c>
      <c r="T15" s="20">
        <f t="shared" si="1"/>
        <v>6</v>
      </c>
      <c r="U15" s="22">
        <f t="shared" ref="U15:U26" si="18">T15*100/S15</f>
        <v>1.1583011583011582</v>
      </c>
      <c r="V15" s="20">
        <f t="shared" si="2"/>
        <v>6</v>
      </c>
      <c r="W15" s="23">
        <f t="shared" ref="W15" si="19">V15*100/S15</f>
        <v>1.1583011583011582</v>
      </c>
      <c r="X15" s="20">
        <v>216</v>
      </c>
      <c r="Y15" s="21">
        <v>4</v>
      </c>
      <c r="Z15" s="22">
        <f t="shared" ref="Z15:Z79" si="20">Y15*100/X15</f>
        <v>1.8518518518518519</v>
      </c>
      <c r="AA15" s="21">
        <v>2</v>
      </c>
      <c r="AB15" s="23">
        <f t="shared" ref="AB15:AB79" si="21">AA15*100/X15</f>
        <v>0.92592592592592593</v>
      </c>
      <c r="AC15" s="20">
        <f t="shared" si="3"/>
        <v>734</v>
      </c>
      <c r="AD15" s="20">
        <f t="shared" si="4"/>
        <v>10</v>
      </c>
      <c r="AE15" s="22">
        <f t="shared" ref="AE15" si="22">AD15*100/AC15</f>
        <v>1.3623978201634876</v>
      </c>
      <c r="AF15" s="20">
        <f t="shared" si="5"/>
        <v>8</v>
      </c>
      <c r="AG15" s="23">
        <f t="shared" ref="AG15" si="23">AF15*100/AC15</f>
        <v>1.0899182561307903</v>
      </c>
    </row>
    <row r="16" spans="1:35" ht="52.5" customHeight="1" thickBot="1" x14ac:dyDescent="0.35">
      <c r="A16" s="9">
        <v>6</v>
      </c>
      <c r="B16" s="9" t="s">
        <v>91</v>
      </c>
      <c r="C16" s="12" t="s">
        <v>12</v>
      </c>
      <c r="D16" s="24">
        <v>19</v>
      </c>
      <c r="E16" s="25">
        <v>0</v>
      </c>
      <c r="F16" s="26">
        <f t="shared" si="12"/>
        <v>0</v>
      </c>
      <c r="G16" s="25">
        <v>0</v>
      </c>
      <c r="H16" s="27">
        <f t="shared" si="13"/>
        <v>0</v>
      </c>
      <c r="I16" s="24">
        <v>27</v>
      </c>
      <c r="J16" s="25">
        <v>0</v>
      </c>
      <c r="K16" s="28">
        <f t="shared" si="14"/>
        <v>0</v>
      </c>
      <c r="L16" s="29">
        <v>0</v>
      </c>
      <c r="M16" s="30">
        <f t="shared" si="15"/>
        <v>0</v>
      </c>
      <c r="N16" s="31">
        <v>30</v>
      </c>
      <c r="O16" s="29">
        <v>0</v>
      </c>
      <c r="P16" s="28">
        <f t="shared" si="16"/>
        <v>0</v>
      </c>
      <c r="Q16" s="29">
        <v>0</v>
      </c>
      <c r="R16" s="30">
        <f t="shared" ref="R16:R26" si="24">Q16*100/N16</f>
        <v>0</v>
      </c>
      <c r="S16" s="31">
        <f t="shared" si="0"/>
        <v>76</v>
      </c>
      <c r="T16" s="31">
        <f t="shared" si="1"/>
        <v>0</v>
      </c>
      <c r="U16" s="28">
        <f t="shared" si="18"/>
        <v>0</v>
      </c>
      <c r="V16" s="31">
        <f t="shared" si="2"/>
        <v>0</v>
      </c>
      <c r="W16" s="30">
        <f t="shared" ref="W16:W26" si="25">V16*100/S16</f>
        <v>0</v>
      </c>
      <c r="X16" s="31">
        <v>41</v>
      </c>
      <c r="Y16" s="29">
        <v>0</v>
      </c>
      <c r="Z16" s="28">
        <f t="shared" ref="Z16:Z25" si="26">Y16*100/X16</f>
        <v>0</v>
      </c>
      <c r="AA16" s="29">
        <v>0</v>
      </c>
      <c r="AB16" s="30">
        <f t="shared" ref="AB16:AB25" si="27">AA16*100/X16</f>
        <v>0</v>
      </c>
      <c r="AC16" s="31">
        <f t="shared" si="3"/>
        <v>117</v>
      </c>
      <c r="AD16" s="31">
        <f t="shared" si="4"/>
        <v>0</v>
      </c>
      <c r="AE16" s="28">
        <f t="shared" ref="AE16:AE26" si="28">AD16*100/AC16</f>
        <v>0</v>
      </c>
      <c r="AF16" s="31">
        <f t="shared" si="5"/>
        <v>0</v>
      </c>
      <c r="AG16" s="30">
        <f t="shared" ref="AG16:AG26" si="29">AF16*100/AC16</f>
        <v>0</v>
      </c>
      <c r="AH16" s="4"/>
    </row>
    <row r="17" spans="1:35" ht="84" customHeight="1" thickBot="1" x14ac:dyDescent="0.35">
      <c r="A17" s="9">
        <v>11</v>
      </c>
      <c r="B17" s="9" t="s">
        <v>91</v>
      </c>
      <c r="C17" s="12" t="s">
        <v>17</v>
      </c>
      <c r="D17" s="24">
        <v>31</v>
      </c>
      <c r="E17" s="25">
        <v>0</v>
      </c>
      <c r="F17" s="26">
        <f t="shared" si="12"/>
        <v>0</v>
      </c>
      <c r="G17" s="25">
        <v>0</v>
      </c>
      <c r="H17" s="27">
        <f t="shared" si="13"/>
        <v>0</v>
      </c>
      <c r="I17" s="31">
        <v>79</v>
      </c>
      <c r="J17" s="29">
        <v>0</v>
      </c>
      <c r="K17" s="28">
        <f t="shared" si="14"/>
        <v>0</v>
      </c>
      <c r="L17" s="29">
        <v>0</v>
      </c>
      <c r="M17" s="30">
        <f t="shared" si="15"/>
        <v>0</v>
      </c>
      <c r="N17" s="31">
        <v>65</v>
      </c>
      <c r="O17" s="29">
        <v>0</v>
      </c>
      <c r="P17" s="28">
        <f t="shared" si="16"/>
        <v>0</v>
      </c>
      <c r="Q17" s="29">
        <v>0</v>
      </c>
      <c r="R17" s="30">
        <f t="shared" si="24"/>
        <v>0</v>
      </c>
      <c r="S17" s="31">
        <f t="shared" si="0"/>
        <v>175</v>
      </c>
      <c r="T17" s="31">
        <f t="shared" si="1"/>
        <v>0</v>
      </c>
      <c r="U17" s="28">
        <f t="shared" si="18"/>
        <v>0</v>
      </c>
      <c r="V17" s="31">
        <f t="shared" si="2"/>
        <v>0</v>
      </c>
      <c r="W17" s="30">
        <f t="shared" si="25"/>
        <v>0</v>
      </c>
      <c r="X17" s="31">
        <v>51</v>
      </c>
      <c r="Y17" s="29">
        <v>0</v>
      </c>
      <c r="Z17" s="28">
        <f t="shared" si="26"/>
        <v>0</v>
      </c>
      <c r="AA17" s="29">
        <v>0</v>
      </c>
      <c r="AB17" s="30">
        <f t="shared" si="27"/>
        <v>0</v>
      </c>
      <c r="AC17" s="31">
        <f t="shared" si="3"/>
        <v>226</v>
      </c>
      <c r="AD17" s="31">
        <f t="shared" si="4"/>
        <v>0</v>
      </c>
      <c r="AE17" s="28">
        <f t="shared" si="28"/>
        <v>0</v>
      </c>
      <c r="AF17" s="31">
        <f t="shared" si="5"/>
        <v>0</v>
      </c>
      <c r="AG17" s="30">
        <f t="shared" si="29"/>
        <v>0</v>
      </c>
      <c r="AH17" s="4"/>
      <c r="AI17" s="4"/>
    </row>
    <row r="18" spans="1:35" ht="118.5" customHeight="1" thickBot="1" x14ac:dyDescent="0.35">
      <c r="A18" s="9">
        <v>17</v>
      </c>
      <c r="B18" s="9" t="s">
        <v>91</v>
      </c>
      <c r="C18" s="12" t="s">
        <v>23</v>
      </c>
      <c r="D18" s="24">
        <v>44</v>
      </c>
      <c r="E18" s="25">
        <v>0</v>
      </c>
      <c r="F18" s="26">
        <f t="shared" si="12"/>
        <v>0</v>
      </c>
      <c r="G18" s="25">
        <v>0</v>
      </c>
      <c r="H18" s="27">
        <f t="shared" si="13"/>
        <v>0</v>
      </c>
      <c r="I18" s="31">
        <v>32</v>
      </c>
      <c r="J18" s="29">
        <v>0</v>
      </c>
      <c r="K18" s="28">
        <f t="shared" si="14"/>
        <v>0</v>
      </c>
      <c r="L18" s="29">
        <v>0</v>
      </c>
      <c r="M18" s="30">
        <f t="shared" si="15"/>
        <v>0</v>
      </c>
      <c r="N18" s="31">
        <v>41</v>
      </c>
      <c r="O18" s="29">
        <v>0</v>
      </c>
      <c r="P18" s="28">
        <f t="shared" si="16"/>
        <v>0</v>
      </c>
      <c r="Q18" s="29">
        <v>0</v>
      </c>
      <c r="R18" s="30">
        <f t="shared" si="24"/>
        <v>0</v>
      </c>
      <c r="S18" s="31">
        <f t="shared" si="0"/>
        <v>117</v>
      </c>
      <c r="T18" s="31">
        <f t="shared" si="1"/>
        <v>0</v>
      </c>
      <c r="U18" s="28">
        <f t="shared" si="18"/>
        <v>0</v>
      </c>
      <c r="V18" s="31">
        <f t="shared" si="2"/>
        <v>0</v>
      </c>
      <c r="W18" s="30">
        <f t="shared" si="25"/>
        <v>0</v>
      </c>
      <c r="X18" s="31">
        <v>30</v>
      </c>
      <c r="Y18" s="29">
        <v>0</v>
      </c>
      <c r="Z18" s="28">
        <f t="shared" si="26"/>
        <v>0</v>
      </c>
      <c r="AA18" s="29">
        <v>0</v>
      </c>
      <c r="AB18" s="30">
        <f t="shared" si="27"/>
        <v>0</v>
      </c>
      <c r="AC18" s="31">
        <f t="shared" si="3"/>
        <v>147</v>
      </c>
      <c r="AD18" s="31">
        <f t="shared" si="4"/>
        <v>0</v>
      </c>
      <c r="AE18" s="28">
        <f t="shared" si="28"/>
        <v>0</v>
      </c>
      <c r="AF18" s="31">
        <f t="shared" si="5"/>
        <v>0</v>
      </c>
      <c r="AG18" s="30">
        <f t="shared" si="29"/>
        <v>0</v>
      </c>
      <c r="AH18" s="4"/>
      <c r="AI18" s="4"/>
    </row>
    <row r="19" spans="1:35" ht="95.25" thickBot="1" x14ac:dyDescent="0.35">
      <c r="A19" s="9">
        <v>22</v>
      </c>
      <c r="B19" s="9" t="s">
        <v>91</v>
      </c>
      <c r="C19" s="12" t="s">
        <v>28</v>
      </c>
      <c r="D19" s="24">
        <v>23</v>
      </c>
      <c r="E19" s="25">
        <v>0</v>
      </c>
      <c r="F19" s="26">
        <f t="shared" si="12"/>
        <v>0</v>
      </c>
      <c r="G19" s="25">
        <v>0</v>
      </c>
      <c r="H19" s="27">
        <f t="shared" si="13"/>
        <v>0</v>
      </c>
      <c r="I19" s="31">
        <v>20</v>
      </c>
      <c r="J19" s="29">
        <v>0</v>
      </c>
      <c r="K19" s="28">
        <f t="shared" si="14"/>
        <v>0</v>
      </c>
      <c r="L19" s="29">
        <v>0</v>
      </c>
      <c r="M19" s="30">
        <f t="shared" si="15"/>
        <v>0</v>
      </c>
      <c r="N19" s="31">
        <v>25</v>
      </c>
      <c r="O19" s="29">
        <v>0</v>
      </c>
      <c r="P19" s="28">
        <f t="shared" si="16"/>
        <v>0</v>
      </c>
      <c r="Q19" s="29">
        <v>0</v>
      </c>
      <c r="R19" s="30">
        <f t="shared" si="24"/>
        <v>0</v>
      </c>
      <c r="S19" s="31">
        <f t="shared" si="0"/>
        <v>68</v>
      </c>
      <c r="T19" s="31">
        <f t="shared" si="1"/>
        <v>0</v>
      </c>
      <c r="U19" s="28">
        <f t="shared" si="18"/>
        <v>0</v>
      </c>
      <c r="V19" s="31">
        <f t="shared" si="2"/>
        <v>0</v>
      </c>
      <c r="W19" s="30">
        <f t="shared" si="25"/>
        <v>0</v>
      </c>
      <c r="X19" s="31">
        <v>7</v>
      </c>
      <c r="Y19" s="29">
        <v>0</v>
      </c>
      <c r="Z19" s="28">
        <f t="shared" si="26"/>
        <v>0</v>
      </c>
      <c r="AA19" s="29">
        <v>0</v>
      </c>
      <c r="AB19" s="30">
        <f t="shared" si="27"/>
        <v>0</v>
      </c>
      <c r="AC19" s="31">
        <f t="shared" si="3"/>
        <v>75</v>
      </c>
      <c r="AD19" s="31">
        <f t="shared" si="4"/>
        <v>0</v>
      </c>
      <c r="AE19" s="28">
        <f t="shared" si="28"/>
        <v>0</v>
      </c>
      <c r="AF19" s="31">
        <f t="shared" si="5"/>
        <v>0</v>
      </c>
      <c r="AG19" s="30">
        <f t="shared" si="29"/>
        <v>0</v>
      </c>
      <c r="AH19" s="4"/>
      <c r="AI19" s="4"/>
    </row>
    <row r="20" spans="1:35" ht="79.5" thickBot="1" x14ac:dyDescent="0.35">
      <c r="A20" s="9">
        <v>25</v>
      </c>
      <c r="B20" s="9" t="s">
        <v>91</v>
      </c>
      <c r="C20" s="12" t="s">
        <v>31</v>
      </c>
      <c r="D20" s="24">
        <v>14</v>
      </c>
      <c r="E20" s="25">
        <v>0</v>
      </c>
      <c r="F20" s="26">
        <f t="shared" si="12"/>
        <v>0</v>
      </c>
      <c r="G20" s="25">
        <v>0</v>
      </c>
      <c r="H20" s="27">
        <f t="shared" si="13"/>
        <v>0</v>
      </c>
      <c r="I20" s="31">
        <v>27</v>
      </c>
      <c r="J20" s="29">
        <v>0</v>
      </c>
      <c r="K20" s="28">
        <f t="shared" si="14"/>
        <v>0</v>
      </c>
      <c r="L20" s="29">
        <v>0</v>
      </c>
      <c r="M20" s="30">
        <f t="shared" si="15"/>
        <v>0</v>
      </c>
      <c r="N20" s="31">
        <v>8</v>
      </c>
      <c r="O20" s="29">
        <v>0</v>
      </c>
      <c r="P20" s="28">
        <f t="shared" si="16"/>
        <v>0</v>
      </c>
      <c r="Q20" s="29">
        <v>0</v>
      </c>
      <c r="R20" s="30">
        <f t="shared" si="24"/>
        <v>0</v>
      </c>
      <c r="S20" s="31">
        <f t="shared" si="0"/>
        <v>49</v>
      </c>
      <c r="T20" s="31">
        <f t="shared" si="1"/>
        <v>0</v>
      </c>
      <c r="U20" s="28">
        <f t="shared" si="18"/>
        <v>0</v>
      </c>
      <c r="V20" s="31">
        <f t="shared" si="2"/>
        <v>0</v>
      </c>
      <c r="W20" s="30">
        <f t="shared" si="25"/>
        <v>0</v>
      </c>
      <c r="X20" s="31">
        <v>46</v>
      </c>
      <c r="Y20" s="29">
        <v>0</v>
      </c>
      <c r="Z20" s="28">
        <f t="shared" si="26"/>
        <v>0</v>
      </c>
      <c r="AA20" s="29">
        <v>0</v>
      </c>
      <c r="AB20" s="30">
        <f t="shared" si="27"/>
        <v>0</v>
      </c>
      <c r="AC20" s="31">
        <f t="shared" si="3"/>
        <v>95</v>
      </c>
      <c r="AD20" s="31">
        <f t="shared" si="4"/>
        <v>0</v>
      </c>
      <c r="AE20" s="28">
        <f t="shared" si="28"/>
        <v>0</v>
      </c>
      <c r="AF20" s="31">
        <f t="shared" si="5"/>
        <v>0</v>
      </c>
      <c r="AG20" s="30">
        <f t="shared" si="29"/>
        <v>0</v>
      </c>
      <c r="AH20" s="4"/>
      <c r="AI20" s="4"/>
    </row>
    <row r="21" spans="1:35" ht="48" thickBot="1" x14ac:dyDescent="0.35">
      <c r="A21" s="9">
        <v>32</v>
      </c>
      <c r="B21" s="9" t="s">
        <v>91</v>
      </c>
      <c r="C21" s="12" t="s">
        <v>38</v>
      </c>
      <c r="D21" s="24">
        <v>10</v>
      </c>
      <c r="E21" s="25">
        <v>0</v>
      </c>
      <c r="F21" s="26">
        <f t="shared" si="12"/>
        <v>0</v>
      </c>
      <c r="G21" s="25">
        <v>0</v>
      </c>
      <c r="H21" s="27">
        <f t="shared" si="13"/>
        <v>0</v>
      </c>
      <c r="I21" s="31">
        <v>8</v>
      </c>
      <c r="J21" s="29">
        <v>0</v>
      </c>
      <c r="K21" s="28">
        <f t="shared" si="14"/>
        <v>0</v>
      </c>
      <c r="L21" s="29">
        <v>0</v>
      </c>
      <c r="M21" s="30">
        <f t="shared" si="15"/>
        <v>0</v>
      </c>
      <c r="N21" s="31">
        <v>7</v>
      </c>
      <c r="O21" s="29">
        <v>0</v>
      </c>
      <c r="P21" s="28">
        <f t="shared" si="16"/>
        <v>0</v>
      </c>
      <c r="Q21" s="29">
        <v>0</v>
      </c>
      <c r="R21" s="30">
        <f t="shared" si="24"/>
        <v>0</v>
      </c>
      <c r="S21" s="31">
        <f t="shared" si="0"/>
        <v>25</v>
      </c>
      <c r="T21" s="31">
        <f t="shared" si="1"/>
        <v>0</v>
      </c>
      <c r="U21" s="28">
        <f t="shared" si="18"/>
        <v>0</v>
      </c>
      <c r="V21" s="31">
        <f t="shared" si="2"/>
        <v>0</v>
      </c>
      <c r="W21" s="30">
        <f t="shared" si="25"/>
        <v>0</v>
      </c>
      <c r="X21" s="31">
        <v>6</v>
      </c>
      <c r="Y21" s="29">
        <v>0</v>
      </c>
      <c r="Z21" s="28">
        <f t="shared" si="26"/>
        <v>0</v>
      </c>
      <c r="AA21" s="29">
        <v>0</v>
      </c>
      <c r="AB21" s="30">
        <f t="shared" si="27"/>
        <v>0</v>
      </c>
      <c r="AC21" s="31">
        <f t="shared" si="3"/>
        <v>31</v>
      </c>
      <c r="AD21" s="31">
        <f t="shared" si="4"/>
        <v>0</v>
      </c>
      <c r="AE21" s="28">
        <f t="shared" si="28"/>
        <v>0</v>
      </c>
      <c r="AF21" s="31">
        <f t="shared" si="5"/>
        <v>0</v>
      </c>
      <c r="AG21" s="30">
        <f t="shared" si="29"/>
        <v>0</v>
      </c>
      <c r="AH21" s="4"/>
      <c r="AI21" s="4"/>
    </row>
    <row r="22" spans="1:35" ht="48" thickBot="1" x14ac:dyDescent="0.35">
      <c r="A22" s="9">
        <v>47</v>
      </c>
      <c r="B22" s="9" t="s">
        <v>91</v>
      </c>
      <c r="C22" s="12" t="s">
        <v>53</v>
      </c>
      <c r="D22" s="24">
        <v>38</v>
      </c>
      <c r="E22" s="25">
        <v>0</v>
      </c>
      <c r="F22" s="26">
        <f t="shared" si="12"/>
        <v>0</v>
      </c>
      <c r="G22" s="25">
        <v>0</v>
      </c>
      <c r="H22" s="30">
        <f t="shared" si="13"/>
        <v>0</v>
      </c>
      <c r="I22" s="31">
        <v>55</v>
      </c>
      <c r="J22" s="29">
        <v>0</v>
      </c>
      <c r="K22" s="28">
        <f t="shared" si="14"/>
        <v>0</v>
      </c>
      <c r="L22" s="29">
        <v>0</v>
      </c>
      <c r="M22" s="30">
        <f t="shared" si="15"/>
        <v>0</v>
      </c>
      <c r="N22" s="31">
        <v>80</v>
      </c>
      <c r="O22" s="29">
        <v>0</v>
      </c>
      <c r="P22" s="28">
        <f t="shared" si="16"/>
        <v>0</v>
      </c>
      <c r="Q22" s="29">
        <v>0</v>
      </c>
      <c r="R22" s="30">
        <f t="shared" si="24"/>
        <v>0</v>
      </c>
      <c r="S22" s="31">
        <f t="shared" si="0"/>
        <v>173</v>
      </c>
      <c r="T22" s="31">
        <f t="shared" si="1"/>
        <v>0</v>
      </c>
      <c r="U22" s="28">
        <f t="shared" si="18"/>
        <v>0</v>
      </c>
      <c r="V22" s="31">
        <f t="shared" si="2"/>
        <v>0</v>
      </c>
      <c r="W22" s="30">
        <f t="shared" si="25"/>
        <v>0</v>
      </c>
      <c r="X22" s="31">
        <v>86</v>
      </c>
      <c r="Y22" s="29">
        <v>0</v>
      </c>
      <c r="Z22" s="28">
        <f t="shared" si="26"/>
        <v>0</v>
      </c>
      <c r="AA22" s="29">
        <v>0</v>
      </c>
      <c r="AB22" s="30">
        <f t="shared" si="27"/>
        <v>0</v>
      </c>
      <c r="AC22" s="31">
        <f t="shared" si="3"/>
        <v>259</v>
      </c>
      <c r="AD22" s="31">
        <f t="shared" si="4"/>
        <v>0</v>
      </c>
      <c r="AE22" s="28">
        <f t="shared" si="28"/>
        <v>0</v>
      </c>
      <c r="AF22" s="31">
        <f t="shared" si="5"/>
        <v>0</v>
      </c>
      <c r="AG22" s="30">
        <f t="shared" si="29"/>
        <v>0</v>
      </c>
      <c r="AH22" s="4"/>
      <c r="AI22" s="4"/>
    </row>
    <row r="23" spans="1:35" ht="102.75" customHeight="1" thickBot="1" x14ac:dyDescent="0.35">
      <c r="A23" s="9">
        <v>50</v>
      </c>
      <c r="B23" s="9" t="s">
        <v>91</v>
      </c>
      <c r="C23" s="12" t="s">
        <v>56</v>
      </c>
      <c r="D23" s="24">
        <v>3</v>
      </c>
      <c r="E23" s="25">
        <v>0</v>
      </c>
      <c r="F23" s="26">
        <f t="shared" si="12"/>
        <v>0</v>
      </c>
      <c r="G23" s="25">
        <v>0</v>
      </c>
      <c r="H23" s="27">
        <f t="shared" si="13"/>
        <v>0</v>
      </c>
      <c r="I23" s="24">
        <v>0</v>
      </c>
      <c r="J23" s="29">
        <v>0</v>
      </c>
      <c r="K23" s="28"/>
      <c r="L23" s="29">
        <v>0</v>
      </c>
      <c r="M23" s="30"/>
      <c r="N23" s="31">
        <v>3</v>
      </c>
      <c r="O23" s="29">
        <v>0</v>
      </c>
      <c r="P23" s="28">
        <f t="shared" si="16"/>
        <v>0</v>
      </c>
      <c r="Q23" s="29">
        <v>0</v>
      </c>
      <c r="R23" s="30">
        <f t="shared" si="24"/>
        <v>0</v>
      </c>
      <c r="S23" s="31">
        <f t="shared" si="0"/>
        <v>6</v>
      </c>
      <c r="T23" s="31">
        <f t="shared" si="1"/>
        <v>0</v>
      </c>
      <c r="U23" s="28">
        <f t="shared" si="18"/>
        <v>0</v>
      </c>
      <c r="V23" s="31">
        <f t="shared" si="2"/>
        <v>0</v>
      </c>
      <c r="W23" s="30">
        <f t="shared" si="25"/>
        <v>0</v>
      </c>
      <c r="X23" s="31">
        <v>1</v>
      </c>
      <c r="Y23" s="29">
        <v>0</v>
      </c>
      <c r="Z23" s="28">
        <f t="shared" si="26"/>
        <v>0</v>
      </c>
      <c r="AA23" s="29">
        <v>0</v>
      </c>
      <c r="AB23" s="30">
        <f t="shared" si="27"/>
        <v>0</v>
      </c>
      <c r="AC23" s="31">
        <f t="shared" si="3"/>
        <v>7</v>
      </c>
      <c r="AD23" s="31">
        <f t="shared" si="4"/>
        <v>0</v>
      </c>
      <c r="AE23" s="28">
        <f t="shared" si="28"/>
        <v>0</v>
      </c>
      <c r="AF23" s="31">
        <f t="shared" si="5"/>
        <v>0</v>
      </c>
      <c r="AG23" s="30">
        <f t="shared" si="29"/>
        <v>0</v>
      </c>
      <c r="AH23" s="4"/>
      <c r="AI23" s="4"/>
    </row>
    <row r="24" spans="1:35" ht="116.65" customHeight="1" thickBot="1" x14ac:dyDescent="0.35">
      <c r="A24" s="10">
        <v>51</v>
      </c>
      <c r="B24" s="10" t="s">
        <v>91</v>
      </c>
      <c r="C24" s="11" t="s">
        <v>57</v>
      </c>
      <c r="D24" s="20">
        <v>113</v>
      </c>
      <c r="E24" s="21">
        <v>64</v>
      </c>
      <c r="F24" s="22">
        <f t="shared" si="12"/>
        <v>56.637168141592923</v>
      </c>
      <c r="G24" s="21">
        <v>0</v>
      </c>
      <c r="H24" s="23">
        <f t="shared" si="13"/>
        <v>0</v>
      </c>
      <c r="I24" s="20">
        <v>292</v>
      </c>
      <c r="J24" s="21">
        <v>223</v>
      </c>
      <c r="K24" s="22">
        <f>J24*100/I24</f>
        <v>76.369863013698634</v>
      </c>
      <c r="L24" s="21">
        <v>0</v>
      </c>
      <c r="M24" s="23">
        <f>L24*100/I24</f>
        <v>0</v>
      </c>
      <c r="N24" s="20">
        <v>127</v>
      </c>
      <c r="O24" s="21">
        <v>55</v>
      </c>
      <c r="P24" s="22">
        <f t="shared" si="16"/>
        <v>43.30708661417323</v>
      </c>
      <c r="Q24" s="21">
        <v>0</v>
      </c>
      <c r="R24" s="23">
        <f t="shared" si="24"/>
        <v>0</v>
      </c>
      <c r="S24" s="20">
        <f t="shared" si="0"/>
        <v>532</v>
      </c>
      <c r="T24" s="20">
        <f t="shared" si="1"/>
        <v>342</v>
      </c>
      <c r="U24" s="22">
        <f t="shared" si="18"/>
        <v>64.285714285714292</v>
      </c>
      <c r="V24" s="20">
        <f t="shared" si="2"/>
        <v>0</v>
      </c>
      <c r="W24" s="23">
        <f t="shared" si="25"/>
        <v>0</v>
      </c>
      <c r="X24" s="20">
        <v>170</v>
      </c>
      <c r="Y24" s="21">
        <v>30</v>
      </c>
      <c r="Z24" s="22">
        <f t="shared" si="26"/>
        <v>17.647058823529413</v>
      </c>
      <c r="AA24" s="21">
        <v>0</v>
      </c>
      <c r="AB24" s="23">
        <f t="shared" si="27"/>
        <v>0</v>
      </c>
      <c r="AC24" s="20">
        <f t="shared" si="3"/>
        <v>702</v>
      </c>
      <c r="AD24" s="20">
        <f t="shared" si="4"/>
        <v>372</v>
      </c>
      <c r="AE24" s="22">
        <f t="shared" si="28"/>
        <v>52.991452991452988</v>
      </c>
      <c r="AF24" s="20">
        <f t="shared" si="5"/>
        <v>0</v>
      </c>
      <c r="AG24" s="23">
        <f t="shared" si="29"/>
        <v>0</v>
      </c>
    </row>
    <row r="25" spans="1:35" ht="102.6" customHeight="1" thickBot="1" x14ac:dyDescent="0.35">
      <c r="A25" s="9">
        <v>57</v>
      </c>
      <c r="B25" s="9" t="s">
        <v>91</v>
      </c>
      <c r="C25" s="12" t="s">
        <v>63</v>
      </c>
      <c r="D25" s="24">
        <v>4</v>
      </c>
      <c r="E25" s="25">
        <v>0</v>
      </c>
      <c r="F25" s="26">
        <f t="shared" si="12"/>
        <v>0</v>
      </c>
      <c r="G25" s="25">
        <v>0</v>
      </c>
      <c r="H25" s="27">
        <f t="shared" si="13"/>
        <v>0</v>
      </c>
      <c r="I25" s="31">
        <v>1</v>
      </c>
      <c r="J25" s="29">
        <v>0</v>
      </c>
      <c r="K25" s="28">
        <f>J25*100/I25</f>
        <v>0</v>
      </c>
      <c r="L25" s="29">
        <v>0</v>
      </c>
      <c r="M25" s="30">
        <f>L25*100/I25</f>
        <v>0</v>
      </c>
      <c r="N25" s="31">
        <v>4</v>
      </c>
      <c r="O25" s="29">
        <v>0</v>
      </c>
      <c r="P25" s="28">
        <f t="shared" si="16"/>
        <v>0</v>
      </c>
      <c r="Q25" s="29">
        <v>0</v>
      </c>
      <c r="R25" s="30">
        <f t="shared" si="24"/>
        <v>0</v>
      </c>
      <c r="S25" s="31">
        <f t="shared" si="0"/>
        <v>9</v>
      </c>
      <c r="T25" s="31">
        <f t="shared" si="1"/>
        <v>0</v>
      </c>
      <c r="U25" s="28">
        <f t="shared" si="18"/>
        <v>0</v>
      </c>
      <c r="V25" s="31">
        <f t="shared" si="2"/>
        <v>0</v>
      </c>
      <c r="W25" s="30">
        <f t="shared" si="25"/>
        <v>0</v>
      </c>
      <c r="X25" s="31">
        <v>4</v>
      </c>
      <c r="Y25" s="29">
        <v>0</v>
      </c>
      <c r="Z25" s="28">
        <f t="shared" si="26"/>
        <v>0</v>
      </c>
      <c r="AA25" s="29">
        <v>0</v>
      </c>
      <c r="AB25" s="30">
        <f t="shared" si="27"/>
        <v>0</v>
      </c>
      <c r="AC25" s="31">
        <f t="shared" si="3"/>
        <v>13</v>
      </c>
      <c r="AD25" s="31">
        <f t="shared" si="4"/>
        <v>0</v>
      </c>
      <c r="AE25" s="28">
        <f t="shared" si="28"/>
        <v>0</v>
      </c>
      <c r="AF25" s="31">
        <f t="shared" si="5"/>
        <v>0</v>
      </c>
      <c r="AG25" s="30">
        <f t="shared" si="29"/>
        <v>0</v>
      </c>
      <c r="AH25" s="4"/>
    </row>
    <row r="26" spans="1:35" ht="63.75" thickBot="1" x14ac:dyDescent="0.35">
      <c r="A26" s="9">
        <v>40</v>
      </c>
      <c r="B26" s="9" t="s">
        <v>91</v>
      </c>
      <c r="C26" s="12" t="s">
        <v>46</v>
      </c>
      <c r="D26" s="24">
        <v>0</v>
      </c>
      <c r="E26" s="25">
        <v>0</v>
      </c>
      <c r="F26" s="26"/>
      <c r="G26" s="25">
        <v>0</v>
      </c>
      <c r="H26" s="30"/>
      <c r="I26" s="31">
        <v>2</v>
      </c>
      <c r="J26" s="29">
        <v>0</v>
      </c>
      <c r="K26" s="28">
        <f>J26*100/I26</f>
        <v>0</v>
      </c>
      <c r="L26" s="29">
        <v>0</v>
      </c>
      <c r="M26" s="30">
        <f>L26*100/I26</f>
        <v>0</v>
      </c>
      <c r="N26" s="31">
        <v>7</v>
      </c>
      <c r="O26" s="29">
        <v>0</v>
      </c>
      <c r="P26" s="28">
        <f t="shared" si="16"/>
        <v>0</v>
      </c>
      <c r="Q26" s="29">
        <v>0</v>
      </c>
      <c r="R26" s="30">
        <f t="shared" si="24"/>
        <v>0</v>
      </c>
      <c r="S26" s="31">
        <f t="shared" si="0"/>
        <v>9</v>
      </c>
      <c r="T26" s="31">
        <f t="shared" si="1"/>
        <v>0</v>
      </c>
      <c r="U26" s="28">
        <f t="shared" si="18"/>
        <v>0</v>
      </c>
      <c r="V26" s="31">
        <f t="shared" si="2"/>
        <v>0</v>
      </c>
      <c r="W26" s="30">
        <f t="shared" si="25"/>
        <v>0</v>
      </c>
      <c r="X26" s="31">
        <v>0</v>
      </c>
      <c r="Y26" s="29">
        <v>0</v>
      </c>
      <c r="Z26" s="28"/>
      <c r="AA26" s="29">
        <v>0</v>
      </c>
      <c r="AB26" s="30"/>
      <c r="AC26" s="31">
        <f t="shared" si="3"/>
        <v>9</v>
      </c>
      <c r="AD26" s="31">
        <f t="shared" si="4"/>
        <v>0</v>
      </c>
      <c r="AE26" s="28">
        <f t="shared" si="28"/>
        <v>0</v>
      </c>
      <c r="AF26" s="31">
        <f t="shared" si="5"/>
        <v>0</v>
      </c>
      <c r="AG26" s="30">
        <f t="shared" si="29"/>
        <v>0</v>
      </c>
      <c r="AH26" s="4"/>
      <c r="AI26" s="4"/>
    </row>
    <row r="27" spans="1:35" ht="32.25" thickBot="1" x14ac:dyDescent="0.35">
      <c r="A27" s="56">
        <v>2</v>
      </c>
      <c r="B27" s="10" t="s">
        <v>92</v>
      </c>
      <c r="C27" s="11" t="s">
        <v>8</v>
      </c>
      <c r="D27" s="20">
        <v>424</v>
      </c>
      <c r="E27" s="21">
        <v>181</v>
      </c>
      <c r="F27" s="22">
        <f t="shared" ref="F27:F79" si="30">E27*100/D27</f>
        <v>42.688679245283019</v>
      </c>
      <c r="G27" s="21">
        <v>0</v>
      </c>
      <c r="H27" s="23">
        <f t="shared" ref="H27:H79" si="31">G27*100/D27</f>
        <v>0</v>
      </c>
      <c r="I27" s="20">
        <v>552</v>
      </c>
      <c r="J27" s="21">
        <v>240</v>
      </c>
      <c r="K27" s="22">
        <f t="shared" ref="K27:K79" si="32">J27*100/I27</f>
        <v>43.478260869565219</v>
      </c>
      <c r="L27" s="21">
        <v>0</v>
      </c>
      <c r="M27" s="23">
        <f t="shared" ref="M27:M79" si="33">L27*100/I27</f>
        <v>0</v>
      </c>
      <c r="N27" s="20">
        <v>660</v>
      </c>
      <c r="O27" s="21">
        <v>275</v>
      </c>
      <c r="P27" s="22">
        <f t="shared" ref="P27:P79" si="34">O27*100/N27</f>
        <v>41.666666666666664</v>
      </c>
      <c r="Q27" s="21">
        <v>0</v>
      </c>
      <c r="R27" s="23">
        <f t="shared" si="17"/>
        <v>0</v>
      </c>
      <c r="S27" s="20">
        <f t="shared" ref="S27:S80" si="35">SUM(D27,I27,N27)</f>
        <v>1636</v>
      </c>
      <c r="T27" s="20">
        <f t="shared" ref="T27:T80" si="36">SUM(E27,J27,O27)</f>
        <v>696</v>
      </c>
      <c r="U27" s="22">
        <f t="shared" ref="U27:U79" si="37">T27*100/S27</f>
        <v>42.542787286063572</v>
      </c>
      <c r="V27" s="20">
        <f t="shared" ref="V27:V80" si="38">SUM(G27,L27,Q27)</f>
        <v>0</v>
      </c>
      <c r="W27" s="23">
        <f t="shared" ref="W27:W79" si="39">V27*100/S27</f>
        <v>0</v>
      </c>
      <c r="X27" s="20">
        <v>163</v>
      </c>
      <c r="Y27" s="21">
        <v>163</v>
      </c>
      <c r="Z27" s="22">
        <f t="shared" si="20"/>
        <v>100</v>
      </c>
      <c r="AA27" s="21">
        <v>0</v>
      </c>
      <c r="AB27" s="23">
        <f t="shared" si="21"/>
        <v>0</v>
      </c>
      <c r="AC27" s="20">
        <f t="shared" ref="AC27:AC80" si="40">S27+X27</f>
        <v>1799</v>
      </c>
      <c r="AD27" s="20">
        <f t="shared" ref="AD27:AD80" si="41">T27+Y27</f>
        <v>859</v>
      </c>
      <c r="AE27" s="22">
        <f t="shared" ref="AE27:AE80" si="42">AD27*100/AC27</f>
        <v>47.74874930516954</v>
      </c>
      <c r="AF27" s="20">
        <f t="shared" ref="AF27:AF80" si="43">V27+AA27</f>
        <v>0</v>
      </c>
      <c r="AG27" s="23">
        <f t="shared" ref="AG27:AG80" si="44">AF27*100/AC27</f>
        <v>0</v>
      </c>
    </row>
    <row r="28" spans="1:35" ht="48" thickBot="1" x14ac:dyDescent="0.35">
      <c r="A28" s="9">
        <v>56</v>
      </c>
      <c r="B28" s="9" t="s">
        <v>92</v>
      </c>
      <c r="C28" s="12" t="s">
        <v>62</v>
      </c>
      <c r="D28" s="24">
        <v>0</v>
      </c>
      <c r="E28" s="25">
        <v>0</v>
      </c>
      <c r="F28" s="26"/>
      <c r="G28" s="25">
        <v>0</v>
      </c>
      <c r="H28" s="27"/>
      <c r="I28" s="31">
        <v>2</v>
      </c>
      <c r="J28" s="29">
        <v>0</v>
      </c>
      <c r="K28" s="28">
        <f>J28*100/I28</f>
        <v>0</v>
      </c>
      <c r="L28" s="29">
        <v>0</v>
      </c>
      <c r="M28" s="30">
        <f>L28*100/I28</f>
        <v>0</v>
      </c>
      <c r="N28" s="31">
        <v>1</v>
      </c>
      <c r="O28" s="29">
        <v>0</v>
      </c>
      <c r="P28" s="28">
        <f>O28*100/N28</f>
        <v>0</v>
      </c>
      <c r="Q28" s="29">
        <v>0</v>
      </c>
      <c r="R28" s="30">
        <f>Q28*100/N28</f>
        <v>0</v>
      </c>
      <c r="S28" s="31">
        <f>SUM(D28,I28,N28)</f>
        <v>3</v>
      </c>
      <c r="T28" s="31">
        <f>SUM(E28,J28,O28)</f>
        <v>0</v>
      </c>
      <c r="U28" s="28">
        <f>T28*100/S28</f>
        <v>0</v>
      </c>
      <c r="V28" s="31">
        <f>SUM(G28,L28,Q28)</f>
        <v>0</v>
      </c>
      <c r="W28" s="30">
        <f>V28*100/S28</f>
        <v>0</v>
      </c>
      <c r="X28" s="31">
        <v>0</v>
      </c>
      <c r="Y28" s="29">
        <v>0</v>
      </c>
      <c r="Z28" s="28"/>
      <c r="AA28" s="29">
        <v>0</v>
      </c>
      <c r="AB28" s="30"/>
      <c r="AC28" s="31">
        <f>S28+X28</f>
        <v>3</v>
      </c>
      <c r="AD28" s="31">
        <f>T28+Y28</f>
        <v>0</v>
      </c>
      <c r="AE28" s="28">
        <f>AD28*100/AC28</f>
        <v>0</v>
      </c>
      <c r="AF28" s="31">
        <f>V28+AA28</f>
        <v>0</v>
      </c>
      <c r="AG28" s="30">
        <f>AF28*100/AC28</f>
        <v>0</v>
      </c>
      <c r="AH28" s="4"/>
    </row>
    <row r="29" spans="1:35" ht="32.25" thickBot="1" x14ac:dyDescent="0.35">
      <c r="A29" s="9">
        <v>3</v>
      </c>
      <c r="B29" s="9" t="s">
        <v>93</v>
      </c>
      <c r="C29" s="12" t="s">
        <v>9</v>
      </c>
      <c r="D29" s="24">
        <v>3</v>
      </c>
      <c r="E29" s="25">
        <v>0</v>
      </c>
      <c r="F29" s="26">
        <f t="shared" si="30"/>
        <v>0</v>
      </c>
      <c r="G29" s="25">
        <v>0</v>
      </c>
      <c r="H29" s="27">
        <f t="shared" si="31"/>
        <v>0</v>
      </c>
      <c r="I29" s="24">
        <v>7</v>
      </c>
      <c r="J29" s="25">
        <v>0</v>
      </c>
      <c r="K29" s="28">
        <f t="shared" si="32"/>
        <v>0</v>
      </c>
      <c r="L29" s="29">
        <v>0</v>
      </c>
      <c r="M29" s="30">
        <f t="shared" si="33"/>
        <v>0</v>
      </c>
      <c r="N29" s="31">
        <v>8</v>
      </c>
      <c r="O29" s="29">
        <v>0</v>
      </c>
      <c r="P29" s="28">
        <f t="shared" si="34"/>
        <v>0</v>
      </c>
      <c r="Q29" s="29">
        <v>0</v>
      </c>
      <c r="R29" s="30">
        <f t="shared" si="17"/>
        <v>0</v>
      </c>
      <c r="S29" s="31">
        <f t="shared" si="35"/>
        <v>18</v>
      </c>
      <c r="T29" s="31">
        <f t="shared" si="36"/>
        <v>0</v>
      </c>
      <c r="U29" s="28">
        <f t="shared" si="37"/>
        <v>0</v>
      </c>
      <c r="V29" s="31">
        <f t="shared" si="38"/>
        <v>0</v>
      </c>
      <c r="W29" s="30">
        <f t="shared" si="39"/>
        <v>0</v>
      </c>
      <c r="X29" s="31">
        <v>12</v>
      </c>
      <c r="Y29" s="29">
        <v>0</v>
      </c>
      <c r="Z29" s="28">
        <f t="shared" si="20"/>
        <v>0</v>
      </c>
      <c r="AA29" s="29">
        <v>0</v>
      </c>
      <c r="AB29" s="30">
        <f t="shared" si="21"/>
        <v>0</v>
      </c>
      <c r="AC29" s="31">
        <f t="shared" si="40"/>
        <v>30</v>
      </c>
      <c r="AD29" s="31">
        <f t="shared" si="41"/>
        <v>0</v>
      </c>
      <c r="AE29" s="28">
        <f t="shared" si="42"/>
        <v>0</v>
      </c>
      <c r="AF29" s="31">
        <f t="shared" si="43"/>
        <v>0</v>
      </c>
      <c r="AG29" s="30">
        <f t="shared" si="44"/>
        <v>0</v>
      </c>
      <c r="AH29" s="4"/>
    </row>
    <row r="30" spans="1:35" ht="63.75" thickBot="1" x14ac:dyDescent="0.35">
      <c r="A30" s="9">
        <v>13</v>
      </c>
      <c r="B30" s="9" t="s">
        <v>93</v>
      </c>
      <c r="C30" s="12" t="s">
        <v>19</v>
      </c>
      <c r="D30" s="24">
        <v>12</v>
      </c>
      <c r="E30" s="25">
        <v>0</v>
      </c>
      <c r="F30" s="26">
        <f>E30*100/D30</f>
        <v>0</v>
      </c>
      <c r="G30" s="25">
        <v>0</v>
      </c>
      <c r="H30" s="27">
        <f>G30*100/D30</f>
        <v>0</v>
      </c>
      <c r="I30" s="31">
        <v>12</v>
      </c>
      <c r="J30" s="29">
        <v>0</v>
      </c>
      <c r="K30" s="28">
        <f>J30*100/I30</f>
        <v>0</v>
      </c>
      <c r="L30" s="29">
        <v>0</v>
      </c>
      <c r="M30" s="30">
        <f>L30*100/I30</f>
        <v>0</v>
      </c>
      <c r="N30" s="31">
        <v>26</v>
      </c>
      <c r="O30" s="29">
        <v>0</v>
      </c>
      <c r="P30" s="28">
        <f>O30*100/N30</f>
        <v>0</v>
      </c>
      <c r="Q30" s="29">
        <v>0</v>
      </c>
      <c r="R30" s="30">
        <f>Q30*100/N30</f>
        <v>0</v>
      </c>
      <c r="S30" s="31">
        <f t="shared" ref="S30:S38" si="45">SUM(D30,I30,N30)</f>
        <v>50</v>
      </c>
      <c r="T30" s="31">
        <f t="shared" si="36"/>
        <v>0</v>
      </c>
      <c r="U30" s="28">
        <f>T30*100/S30</f>
        <v>0</v>
      </c>
      <c r="V30" s="31">
        <f t="shared" ref="V30:V38" si="46">SUM(G30,L30,Q30)</f>
        <v>0</v>
      </c>
      <c r="W30" s="30">
        <f>V30*100/S30</f>
        <v>0</v>
      </c>
      <c r="X30" s="31">
        <v>16</v>
      </c>
      <c r="Y30" s="29">
        <v>0</v>
      </c>
      <c r="Z30" s="28">
        <f>Y30*100/X30</f>
        <v>0</v>
      </c>
      <c r="AA30" s="29">
        <v>0</v>
      </c>
      <c r="AB30" s="30">
        <f>AA30*100/X30</f>
        <v>0</v>
      </c>
      <c r="AC30" s="31">
        <f t="shared" ref="AC30:AC38" si="47">S30+X30</f>
        <v>66</v>
      </c>
      <c r="AD30" s="31">
        <f t="shared" si="41"/>
        <v>0</v>
      </c>
      <c r="AE30" s="28">
        <f>AD30*100/AC30</f>
        <v>0</v>
      </c>
      <c r="AF30" s="31">
        <f t="shared" ref="AF30:AF38" si="48">V30+AA30</f>
        <v>0</v>
      </c>
      <c r="AG30" s="30">
        <f>AF30*100/AC30</f>
        <v>0</v>
      </c>
      <c r="AH30" s="4"/>
      <c r="AI30" s="4"/>
    </row>
    <row r="31" spans="1:35" ht="48" thickBot="1" x14ac:dyDescent="0.35">
      <c r="A31" s="9">
        <v>18</v>
      </c>
      <c r="B31" s="9" t="s">
        <v>93</v>
      </c>
      <c r="C31" s="12" t="s">
        <v>24</v>
      </c>
      <c r="D31" s="24">
        <v>80</v>
      </c>
      <c r="E31" s="25">
        <v>0</v>
      </c>
      <c r="F31" s="26">
        <f>E31*100/D31</f>
        <v>0</v>
      </c>
      <c r="G31" s="25">
        <v>0</v>
      </c>
      <c r="H31" s="27">
        <f>G31*100/D31</f>
        <v>0</v>
      </c>
      <c r="I31" s="31">
        <v>146</v>
      </c>
      <c r="J31" s="29">
        <v>0</v>
      </c>
      <c r="K31" s="28">
        <f>J31*100/I31</f>
        <v>0</v>
      </c>
      <c r="L31" s="29">
        <v>0</v>
      </c>
      <c r="M31" s="30">
        <f>L31*100/I31</f>
        <v>0</v>
      </c>
      <c r="N31" s="31">
        <v>31</v>
      </c>
      <c r="O31" s="29">
        <v>0</v>
      </c>
      <c r="P31" s="28">
        <f>O31*100/N31</f>
        <v>0</v>
      </c>
      <c r="Q31" s="29">
        <v>0</v>
      </c>
      <c r="R31" s="30">
        <f>Q31*100/N31</f>
        <v>0</v>
      </c>
      <c r="S31" s="31">
        <f t="shared" si="45"/>
        <v>257</v>
      </c>
      <c r="T31" s="31">
        <f t="shared" si="36"/>
        <v>0</v>
      </c>
      <c r="U31" s="28">
        <f>T31*100/S31</f>
        <v>0</v>
      </c>
      <c r="V31" s="31">
        <f t="shared" si="46"/>
        <v>0</v>
      </c>
      <c r="W31" s="30">
        <f>V31*100/S31</f>
        <v>0</v>
      </c>
      <c r="X31" s="31">
        <v>22</v>
      </c>
      <c r="Y31" s="29">
        <v>0</v>
      </c>
      <c r="Z31" s="28">
        <f>Y31*100/X31</f>
        <v>0</v>
      </c>
      <c r="AA31" s="29">
        <v>0</v>
      </c>
      <c r="AB31" s="30">
        <f>AA31*100/X31</f>
        <v>0</v>
      </c>
      <c r="AC31" s="31">
        <f t="shared" si="47"/>
        <v>279</v>
      </c>
      <c r="AD31" s="31">
        <f t="shared" si="41"/>
        <v>0</v>
      </c>
      <c r="AE31" s="28">
        <f>AD31*100/AC31</f>
        <v>0</v>
      </c>
      <c r="AF31" s="31">
        <f t="shared" si="48"/>
        <v>0</v>
      </c>
      <c r="AG31" s="30">
        <f>AF31*100/AC31</f>
        <v>0</v>
      </c>
      <c r="AH31" s="4"/>
      <c r="AI31" s="4"/>
    </row>
    <row r="32" spans="1:35" ht="89.25" customHeight="1" thickBot="1" x14ac:dyDescent="0.35">
      <c r="A32" s="9">
        <v>20</v>
      </c>
      <c r="B32" s="9" t="s">
        <v>93</v>
      </c>
      <c r="C32" s="12" t="s">
        <v>26</v>
      </c>
      <c r="D32" s="24">
        <v>3</v>
      </c>
      <c r="E32" s="25">
        <v>0</v>
      </c>
      <c r="F32" s="26">
        <f>E32*100/D32</f>
        <v>0</v>
      </c>
      <c r="G32" s="25">
        <v>0</v>
      </c>
      <c r="H32" s="27">
        <f>G32*100/D32</f>
        <v>0</v>
      </c>
      <c r="I32" s="31">
        <v>9</v>
      </c>
      <c r="J32" s="29">
        <v>0</v>
      </c>
      <c r="K32" s="28">
        <f>J32*100/I32</f>
        <v>0</v>
      </c>
      <c r="L32" s="29">
        <v>0</v>
      </c>
      <c r="M32" s="30">
        <f>L32*100/I32</f>
        <v>0</v>
      </c>
      <c r="N32" s="31">
        <v>4</v>
      </c>
      <c r="O32" s="29">
        <v>0</v>
      </c>
      <c r="P32" s="28">
        <f>O32*100/N32</f>
        <v>0</v>
      </c>
      <c r="Q32" s="29">
        <v>0</v>
      </c>
      <c r="R32" s="30">
        <f>Q32*100/N32</f>
        <v>0</v>
      </c>
      <c r="S32" s="31">
        <f t="shared" si="45"/>
        <v>16</v>
      </c>
      <c r="T32" s="31">
        <f t="shared" si="36"/>
        <v>0</v>
      </c>
      <c r="U32" s="28">
        <f>T32*100/S32</f>
        <v>0</v>
      </c>
      <c r="V32" s="31">
        <f t="shared" si="46"/>
        <v>0</v>
      </c>
      <c r="W32" s="30">
        <f>V32*100/S32</f>
        <v>0</v>
      </c>
      <c r="X32" s="31">
        <v>1</v>
      </c>
      <c r="Y32" s="29">
        <v>0</v>
      </c>
      <c r="Z32" s="28">
        <f>Y32*100/X32</f>
        <v>0</v>
      </c>
      <c r="AA32" s="29">
        <v>0</v>
      </c>
      <c r="AB32" s="30">
        <f>AA32*100/X32</f>
        <v>0</v>
      </c>
      <c r="AC32" s="31">
        <f t="shared" si="47"/>
        <v>17</v>
      </c>
      <c r="AD32" s="31">
        <f t="shared" si="41"/>
        <v>0</v>
      </c>
      <c r="AE32" s="28">
        <f>AD32*100/AC32</f>
        <v>0</v>
      </c>
      <c r="AF32" s="31">
        <f t="shared" si="48"/>
        <v>0</v>
      </c>
      <c r="AG32" s="30">
        <f>AF32*100/AC32</f>
        <v>0</v>
      </c>
      <c r="AH32" s="4"/>
      <c r="AI32" s="4"/>
    </row>
    <row r="33" spans="1:35" ht="117" customHeight="1" thickBot="1" x14ac:dyDescent="0.35">
      <c r="A33" s="9">
        <v>28</v>
      </c>
      <c r="B33" s="9" t="s">
        <v>93</v>
      </c>
      <c r="C33" s="12" t="s">
        <v>34</v>
      </c>
      <c r="D33" s="24">
        <v>3</v>
      </c>
      <c r="E33" s="25">
        <v>0</v>
      </c>
      <c r="F33" s="26">
        <f>E33*100/D33</f>
        <v>0</v>
      </c>
      <c r="G33" s="25">
        <v>0</v>
      </c>
      <c r="H33" s="27">
        <f>G33*100/D33</f>
        <v>0</v>
      </c>
      <c r="I33" s="31">
        <v>4</v>
      </c>
      <c r="J33" s="29">
        <v>0</v>
      </c>
      <c r="K33" s="28">
        <f>J33*100/I33</f>
        <v>0</v>
      </c>
      <c r="L33" s="29">
        <v>0</v>
      </c>
      <c r="M33" s="30">
        <f>L33*100/I33</f>
        <v>0</v>
      </c>
      <c r="N33" s="31">
        <v>6</v>
      </c>
      <c r="O33" s="29">
        <v>0</v>
      </c>
      <c r="P33" s="28">
        <f>O33*100/N33</f>
        <v>0</v>
      </c>
      <c r="Q33" s="29">
        <v>0</v>
      </c>
      <c r="R33" s="30">
        <f>Q33*100/N33</f>
        <v>0</v>
      </c>
      <c r="S33" s="31">
        <f t="shared" si="45"/>
        <v>13</v>
      </c>
      <c r="T33" s="31">
        <f t="shared" si="36"/>
        <v>0</v>
      </c>
      <c r="U33" s="28">
        <f>T33*100/S33</f>
        <v>0</v>
      </c>
      <c r="V33" s="31">
        <f t="shared" si="46"/>
        <v>0</v>
      </c>
      <c r="W33" s="30">
        <f>V33*100/S33</f>
        <v>0</v>
      </c>
      <c r="X33" s="31">
        <v>8</v>
      </c>
      <c r="Y33" s="29">
        <v>0</v>
      </c>
      <c r="Z33" s="28">
        <f>Y33*100/X33</f>
        <v>0</v>
      </c>
      <c r="AA33" s="29">
        <v>0</v>
      </c>
      <c r="AB33" s="30">
        <f>AA33*100/X33</f>
        <v>0</v>
      </c>
      <c r="AC33" s="31">
        <f t="shared" si="47"/>
        <v>21</v>
      </c>
      <c r="AD33" s="31">
        <f t="shared" si="41"/>
        <v>0</v>
      </c>
      <c r="AE33" s="28">
        <f>AD33*100/AC33</f>
        <v>0</v>
      </c>
      <c r="AF33" s="31">
        <f t="shared" si="48"/>
        <v>0</v>
      </c>
      <c r="AG33" s="30">
        <f>AF33*100/AC33</f>
        <v>0</v>
      </c>
      <c r="AH33" s="4"/>
      <c r="AI33" s="4"/>
    </row>
    <row r="34" spans="1:35" ht="78.599999999999994" customHeight="1" thickBot="1" x14ac:dyDescent="0.35">
      <c r="A34" s="9">
        <v>36</v>
      </c>
      <c r="B34" s="9" t="s">
        <v>93</v>
      </c>
      <c r="C34" s="12" t="s">
        <v>42</v>
      </c>
      <c r="D34" s="24">
        <v>0</v>
      </c>
      <c r="E34" s="25">
        <v>0</v>
      </c>
      <c r="F34" s="26"/>
      <c r="G34" s="25">
        <v>0</v>
      </c>
      <c r="H34" s="27"/>
      <c r="I34" s="24">
        <v>0</v>
      </c>
      <c r="J34" s="29">
        <v>0</v>
      </c>
      <c r="K34" s="28"/>
      <c r="L34" s="29">
        <v>0</v>
      </c>
      <c r="M34" s="30"/>
      <c r="N34" s="31">
        <v>0</v>
      </c>
      <c r="O34" s="29">
        <v>0</v>
      </c>
      <c r="P34" s="28"/>
      <c r="Q34" s="29">
        <v>0</v>
      </c>
      <c r="R34" s="30"/>
      <c r="S34" s="31">
        <f t="shared" si="45"/>
        <v>0</v>
      </c>
      <c r="T34" s="31">
        <f t="shared" si="36"/>
        <v>0</v>
      </c>
      <c r="U34" s="28">
        <v>0</v>
      </c>
      <c r="V34" s="31">
        <f t="shared" si="46"/>
        <v>0</v>
      </c>
      <c r="W34" s="30">
        <v>0</v>
      </c>
      <c r="X34" s="31">
        <v>0</v>
      </c>
      <c r="Y34" s="29">
        <v>0</v>
      </c>
      <c r="Z34" s="28"/>
      <c r="AA34" s="29">
        <v>0</v>
      </c>
      <c r="AB34" s="30"/>
      <c r="AC34" s="31">
        <f t="shared" si="47"/>
        <v>0</v>
      </c>
      <c r="AD34" s="31">
        <f t="shared" si="41"/>
        <v>0</v>
      </c>
      <c r="AE34" s="28">
        <v>0</v>
      </c>
      <c r="AF34" s="31">
        <f t="shared" si="48"/>
        <v>0</v>
      </c>
      <c r="AG34" s="30">
        <v>0</v>
      </c>
      <c r="AH34" s="4"/>
      <c r="AI34" s="4"/>
    </row>
    <row r="35" spans="1:35" ht="63.75" thickBot="1" x14ac:dyDescent="0.35">
      <c r="A35" s="9">
        <v>48</v>
      </c>
      <c r="B35" s="9" t="s">
        <v>93</v>
      </c>
      <c r="C35" s="12" t="s">
        <v>54</v>
      </c>
      <c r="D35" s="24">
        <v>0</v>
      </c>
      <c r="E35" s="25">
        <v>0</v>
      </c>
      <c r="F35" s="26"/>
      <c r="G35" s="25">
        <v>0</v>
      </c>
      <c r="H35" s="30"/>
      <c r="I35" s="31">
        <v>0</v>
      </c>
      <c r="J35" s="29">
        <v>0</v>
      </c>
      <c r="K35" s="28"/>
      <c r="L35" s="29">
        <v>0</v>
      </c>
      <c r="M35" s="30"/>
      <c r="N35" s="31">
        <v>0</v>
      </c>
      <c r="O35" s="29">
        <v>0</v>
      </c>
      <c r="P35" s="28"/>
      <c r="Q35" s="29">
        <v>0</v>
      </c>
      <c r="R35" s="30"/>
      <c r="S35" s="31">
        <f t="shared" si="45"/>
        <v>0</v>
      </c>
      <c r="T35" s="31">
        <f t="shared" si="36"/>
        <v>0</v>
      </c>
      <c r="U35" s="28">
        <v>0</v>
      </c>
      <c r="V35" s="31">
        <f t="shared" si="46"/>
        <v>0</v>
      </c>
      <c r="W35" s="30">
        <v>0</v>
      </c>
      <c r="X35" s="31">
        <v>0</v>
      </c>
      <c r="Y35" s="29">
        <v>0</v>
      </c>
      <c r="Z35" s="28"/>
      <c r="AA35" s="29">
        <v>0</v>
      </c>
      <c r="AB35" s="30"/>
      <c r="AC35" s="31">
        <f t="shared" si="47"/>
        <v>0</v>
      </c>
      <c r="AD35" s="31">
        <f t="shared" si="41"/>
        <v>0</v>
      </c>
      <c r="AE35" s="28">
        <v>0</v>
      </c>
      <c r="AF35" s="31">
        <f t="shared" si="48"/>
        <v>0</v>
      </c>
      <c r="AG35" s="30">
        <v>0</v>
      </c>
      <c r="AH35" s="4"/>
      <c r="AI35" s="4"/>
    </row>
    <row r="36" spans="1:35" ht="32.25" thickBot="1" x14ac:dyDescent="0.35">
      <c r="A36" s="9">
        <v>24</v>
      </c>
      <c r="B36" s="9" t="s">
        <v>93</v>
      </c>
      <c r="C36" s="12" t="s">
        <v>30</v>
      </c>
      <c r="D36" s="24">
        <v>86</v>
      </c>
      <c r="E36" s="25">
        <v>0</v>
      </c>
      <c r="F36" s="26">
        <f>E36*100/D36</f>
        <v>0</v>
      </c>
      <c r="G36" s="25">
        <v>0</v>
      </c>
      <c r="H36" s="27">
        <f>G36*100/D36</f>
        <v>0</v>
      </c>
      <c r="I36" s="31">
        <v>109</v>
      </c>
      <c r="J36" s="29">
        <v>0</v>
      </c>
      <c r="K36" s="28">
        <f>J36*100/I36</f>
        <v>0</v>
      </c>
      <c r="L36" s="29">
        <v>0</v>
      </c>
      <c r="M36" s="30">
        <f>L36*100/I36</f>
        <v>0</v>
      </c>
      <c r="N36" s="31">
        <v>134</v>
      </c>
      <c r="O36" s="29">
        <v>0</v>
      </c>
      <c r="P36" s="28">
        <f>O36*100/N36</f>
        <v>0</v>
      </c>
      <c r="Q36" s="29">
        <v>0</v>
      </c>
      <c r="R36" s="30">
        <f>Q36*100/N36</f>
        <v>0</v>
      </c>
      <c r="S36" s="31">
        <f t="shared" si="45"/>
        <v>329</v>
      </c>
      <c r="T36" s="31">
        <f t="shared" si="36"/>
        <v>0</v>
      </c>
      <c r="U36" s="28">
        <f>T36*100/S36</f>
        <v>0</v>
      </c>
      <c r="V36" s="31">
        <f t="shared" si="46"/>
        <v>0</v>
      </c>
      <c r="W36" s="30">
        <f>V36*100/S36</f>
        <v>0</v>
      </c>
      <c r="X36" s="31">
        <v>14</v>
      </c>
      <c r="Y36" s="29">
        <v>0</v>
      </c>
      <c r="Z36" s="28">
        <f>Y36*100/X36</f>
        <v>0</v>
      </c>
      <c r="AA36" s="29">
        <v>0</v>
      </c>
      <c r="AB36" s="30">
        <f>AA36*100/X36</f>
        <v>0</v>
      </c>
      <c r="AC36" s="31">
        <f t="shared" si="47"/>
        <v>343</v>
      </c>
      <c r="AD36" s="31">
        <f t="shared" si="41"/>
        <v>0</v>
      </c>
      <c r="AE36" s="28">
        <f>AD36*100/AC36</f>
        <v>0</v>
      </c>
      <c r="AF36" s="31">
        <f t="shared" si="48"/>
        <v>0</v>
      </c>
      <c r="AG36" s="30">
        <f>AF36*100/AC36</f>
        <v>0</v>
      </c>
      <c r="AH36" s="4"/>
      <c r="AI36" s="4"/>
    </row>
    <row r="37" spans="1:35" ht="63.75" thickBot="1" x14ac:dyDescent="0.35">
      <c r="A37" s="10">
        <v>39</v>
      </c>
      <c r="B37" s="10" t="s">
        <v>93</v>
      </c>
      <c r="C37" s="11" t="s">
        <v>45</v>
      </c>
      <c r="D37" s="20">
        <v>194</v>
      </c>
      <c r="E37" s="21">
        <v>0</v>
      </c>
      <c r="F37" s="22">
        <f>E37*100/D37</f>
        <v>0</v>
      </c>
      <c r="G37" s="21">
        <v>0</v>
      </c>
      <c r="H37" s="23">
        <f>G37*100/D37</f>
        <v>0</v>
      </c>
      <c r="I37" s="20">
        <v>345</v>
      </c>
      <c r="J37" s="21">
        <v>0</v>
      </c>
      <c r="K37" s="22">
        <f>J37*100/I37</f>
        <v>0</v>
      </c>
      <c r="L37" s="21">
        <v>0</v>
      </c>
      <c r="M37" s="23">
        <f>L37*100/I37</f>
        <v>0</v>
      </c>
      <c r="N37" s="20">
        <v>57</v>
      </c>
      <c r="O37" s="21">
        <v>0</v>
      </c>
      <c r="P37" s="22">
        <f>O37*100/N37</f>
        <v>0</v>
      </c>
      <c r="Q37" s="21">
        <v>0</v>
      </c>
      <c r="R37" s="23">
        <f>Q37*100/N37</f>
        <v>0</v>
      </c>
      <c r="S37" s="20">
        <f t="shared" si="45"/>
        <v>596</v>
      </c>
      <c r="T37" s="20">
        <f t="shared" si="36"/>
        <v>0</v>
      </c>
      <c r="U37" s="22">
        <f>T37*100/S37</f>
        <v>0</v>
      </c>
      <c r="V37" s="20">
        <f t="shared" si="46"/>
        <v>0</v>
      </c>
      <c r="W37" s="23">
        <f>V37*100/S37</f>
        <v>0</v>
      </c>
      <c r="X37" s="20">
        <v>128</v>
      </c>
      <c r="Y37" s="21">
        <v>0</v>
      </c>
      <c r="Z37" s="22">
        <f>Y37*100/X37</f>
        <v>0</v>
      </c>
      <c r="AA37" s="21">
        <v>0</v>
      </c>
      <c r="AB37" s="23">
        <f>AA37*100/X37</f>
        <v>0</v>
      </c>
      <c r="AC37" s="20">
        <f t="shared" si="47"/>
        <v>724</v>
      </c>
      <c r="AD37" s="20">
        <f t="shared" si="41"/>
        <v>0</v>
      </c>
      <c r="AE37" s="22">
        <f>AD37*100/AC37</f>
        <v>0</v>
      </c>
      <c r="AF37" s="20">
        <f t="shared" si="48"/>
        <v>0</v>
      </c>
      <c r="AG37" s="23">
        <f>AF37*100/AC37</f>
        <v>0</v>
      </c>
    </row>
    <row r="38" spans="1:35" ht="48" thickBot="1" x14ac:dyDescent="0.35">
      <c r="A38" s="9">
        <v>55</v>
      </c>
      <c r="B38" s="9" t="s">
        <v>93</v>
      </c>
      <c r="C38" s="12" t="s">
        <v>61</v>
      </c>
      <c r="D38" s="24">
        <v>2</v>
      </c>
      <c r="E38" s="25">
        <v>0</v>
      </c>
      <c r="F38" s="26">
        <f>E38*100/D38</f>
        <v>0</v>
      </c>
      <c r="G38" s="25">
        <v>0</v>
      </c>
      <c r="H38" s="27">
        <f>G38*100/D38</f>
        <v>0</v>
      </c>
      <c r="I38" s="31">
        <v>2</v>
      </c>
      <c r="J38" s="29">
        <v>0</v>
      </c>
      <c r="K38" s="28">
        <f>J38*100/I38</f>
        <v>0</v>
      </c>
      <c r="L38" s="29">
        <v>0</v>
      </c>
      <c r="M38" s="30">
        <f>L38*100/I38</f>
        <v>0</v>
      </c>
      <c r="N38" s="31">
        <v>4</v>
      </c>
      <c r="O38" s="29">
        <v>0</v>
      </c>
      <c r="P38" s="28">
        <f>O38*100/N38</f>
        <v>0</v>
      </c>
      <c r="Q38" s="29">
        <v>0</v>
      </c>
      <c r="R38" s="30">
        <f>Q38*100/N38</f>
        <v>0</v>
      </c>
      <c r="S38" s="31">
        <f t="shared" si="45"/>
        <v>8</v>
      </c>
      <c r="T38" s="31">
        <f t="shared" si="36"/>
        <v>0</v>
      </c>
      <c r="U38" s="28">
        <f>T38*100/S38</f>
        <v>0</v>
      </c>
      <c r="V38" s="31">
        <f t="shared" si="46"/>
        <v>0</v>
      </c>
      <c r="W38" s="30">
        <f>V38*100/S38</f>
        <v>0</v>
      </c>
      <c r="X38" s="31">
        <v>0</v>
      </c>
      <c r="Y38" s="29">
        <v>0</v>
      </c>
      <c r="Z38" s="28"/>
      <c r="AA38" s="29">
        <v>0</v>
      </c>
      <c r="AB38" s="30"/>
      <c r="AC38" s="31">
        <f t="shared" si="47"/>
        <v>8</v>
      </c>
      <c r="AD38" s="31">
        <f t="shared" si="41"/>
        <v>0</v>
      </c>
      <c r="AE38" s="28">
        <f>AD38*100/AC38</f>
        <v>0</v>
      </c>
      <c r="AF38" s="31">
        <f t="shared" si="48"/>
        <v>0</v>
      </c>
      <c r="AG38" s="30">
        <f>AF38*100/AC38</f>
        <v>0</v>
      </c>
      <c r="AH38" s="4"/>
    </row>
    <row r="39" spans="1:35" ht="34.15" customHeight="1" thickBot="1" x14ac:dyDescent="0.35">
      <c r="A39" s="9">
        <v>5</v>
      </c>
      <c r="B39" s="9" t="s">
        <v>95</v>
      </c>
      <c r="C39" s="12" t="s">
        <v>11</v>
      </c>
      <c r="D39" s="24">
        <v>7</v>
      </c>
      <c r="E39" s="25">
        <v>0</v>
      </c>
      <c r="F39" s="26">
        <f t="shared" si="30"/>
        <v>0</v>
      </c>
      <c r="G39" s="25">
        <v>0</v>
      </c>
      <c r="H39" s="27">
        <f t="shared" si="31"/>
        <v>0</v>
      </c>
      <c r="I39" s="24">
        <v>7</v>
      </c>
      <c r="J39" s="25">
        <v>0</v>
      </c>
      <c r="K39" s="28">
        <f t="shared" si="32"/>
        <v>0</v>
      </c>
      <c r="L39" s="29">
        <v>0</v>
      </c>
      <c r="M39" s="30">
        <f t="shared" si="33"/>
        <v>0</v>
      </c>
      <c r="N39" s="31">
        <v>7</v>
      </c>
      <c r="O39" s="29">
        <v>0</v>
      </c>
      <c r="P39" s="28">
        <f t="shared" si="34"/>
        <v>0</v>
      </c>
      <c r="Q39" s="29">
        <v>0</v>
      </c>
      <c r="R39" s="30">
        <f t="shared" si="17"/>
        <v>0</v>
      </c>
      <c r="S39" s="31">
        <f t="shared" si="35"/>
        <v>21</v>
      </c>
      <c r="T39" s="31">
        <f t="shared" si="36"/>
        <v>0</v>
      </c>
      <c r="U39" s="28">
        <f t="shared" si="37"/>
        <v>0</v>
      </c>
      <c r="V39" s="31">
        <f t="shared" si="38"/>
        <v>0</v>
      </c>
      <c r="W39" s="30">
        <f t="shared" si="39"/>
        <v>0</v>
      </c>
      <c r="X39" s="31">
        <v>6</v>
      </c>
      <c r="Y39" s="29">
        <v>0</v>
      </c>
      <c r="Z39" s="28">
        <f t="shared" si="20"/>
        <v>0</v>
      </c>
      <c r="AA39" s="29">
        <v>0</v>
      </c>
      <c r="AB39" s="30">
        <f t="shared" si="21"/>
        <v>0</v>
      </c>
      <c r="AC39" s="31">
        <f t="shared" si="40"/>
        <v>27</v>
      </c>
      <c r="AD39" s="31">
        <f t="shared" si="41"/>
        <v>0</v>
      </c>
      <c r="AE39" s="28">
        <f t="shared" si="42"/>
        <v>0</v>
      </c>
      <c r="AF39" s="31">
        <f t="shared" si="43"/>
        <v>0</v>
      </c>
      <c r="AG39" s="30">
        <f t="shared" si="44"/>
        <v>0</v>
      </c>
      <c r="AH39" s="4"/>
    </row>
    <row r="40" spans="1:35" ht="48" thickBot="1" x14ac:dyDescent="0.35">
      <c r="A40" s="9">
        <v>8</v>
      </c>
      <c r="B40" s="9" t="s">
        <v>95</v>
      </c>
      <c r="C40" s="12" t="s">
        <v>14</v>
      </c>
      <c r="D40" s="24">
        <v>4</v>
      </c>
      <c r="E40" s="25">
        <v>0</v>
      </c>
      <c r="F40" s="26">
        <f>E40*100/D40</f>
        <v>0</v>
      </c>
      <c r="G40" s="25">
        <v>0</v>
      </c>
      <c r="H40" s="27">
        <f>G40*100/D40</f>
        <v>0</v>
      </c>
      <c r="I40" s="31">
        <v>3</v>
      </c>
      <c r="J40" s="29">
        <v>0</v>
      </c>
      <c r="K40" s="28">
        <f>J40*100/I40</f>
        <v>0</v>
      </c>
      <c r="L40" s="29">
        <v>0</v>
      </c>
      <c r="M40" s="30">
        <f>L40*100/I40</f>
        <v>0</v>
      </c>
      <c r="N40" s="31">
        <v>3</v>
      </c>
      <c r="O40" s="29">
        <v>0</v>
      </c>
      <c r="P40" s="28">
        <f>O40*100/N40</f>
        <v>0</v>
      </c>
      <c r="Q40" s="29">
        <v>0</v>
      </c>
      <c r="R40" s="30">
        <f>Q40*100/N40</f>
        <v>0</v>
      </c>
      <c r="S40" s="31">
        <f t="shared" ref="S40:S50" si="49">SUM(D40,I40,N40)</f>
        <v>10</v>
      </c>
      <c r="T40" s="31">
        <f t="shared" si="36"/>
        <v>0</v>
      </c>
      <c r="U40" s="28">
        <f>T40*100/S40</f>
        <v>0</v>
      </c>
      <c r="V40" s="31">
        <f t="shared" ref="V40:V50" si="50">SUM(G40,L40,Q40)</f>
        <v>0</v>
      </c>
      <c r="W40" s="30">
        <f>V40*100/S40</f>
        <v>0</v>
      </c>
      <c r="X40" s="31">
        <v>7</v>
      </c>
      <c r="Y40" s="29">
        <v>0</v>
      </c>
      <c r="Z40" s="28">
        <f>Y40*100/X40</f>
        <v>0</v>
      </c>
      <c r="AA40" s="29">
        <v>0</v>
      </c>
      <c r="AB40" s="30">
        <f>AA40*100/X40</f>
        <v>0</v>
      </c>
      <c r="AC40" s="31">
        <f t="shared" ref="AC40:AC50" si="51">S40+X40</f>
        <v>17</v>
      </c>
      <c r="AD40" s="31">
        <f t="shared" si="41"/>
        <v>0</v>
      </c>
      <c r="AE40" s="28">
        <f>AD40*100/AC40</f>
        <v>0</v>
      </c>
      <c r="AF40" s="31">
        <f t="shared" ref="AF40:AF50" si="52">V40+AA40</f>
        <v>0</v>
      </c>
      <c r="AG40" s="30">
        <f>AF40*100/AC40</f>
        <v>0</v>
      </c>
      <c r="AH40" s="4"/>
      <c r="AI40" s="4"/>
    </row>
    <row r="41" spans="1:35" ht="78" customHeight="1" thickBot="1" x14ac:dyDescent="0.35">
      <c r="A41" s="9">
        <v>12</v>
      </c>
      <c r="B41" s="9" t="s">
        <v>95</v>
      </c>
      <c r="C41" s="12" t="s">
        <v>18</v>
      </c>
      <c r="D41" s="24">
        <v>5</v>
      </c>
      <c r="E41" s="25">
        <v>0</v>
      </c>
      <c r="F41" s="26">
        <f>E41*100/D41</f>
        <v>0</v>
      </c>
      <c r="G41" s="25">
        <v>0</v>
      </c>
      <c r="H41" s="27">
        <f>G41*100/D41</f>
        <v>0</v>
      </c>
      <c r="I41" s="31">
        <v>10</v>
      </c>
      <c r="J41" s="29">
        <v>0</v>
      </c>
      <c r="K41" s="28">
        <f>J41*100/I41</f>
        <v>0</v>
      </c>
      <c r="L41" s="29">
        <v>0</v>
      </c>
      <c r="M41" s="30">
        <f>L41*100/I41</f>
        <v>0</v>
      </c>
      <c r="N41" s="31">
        <v>9</v>
      </c>
      <c r="O41" s="29">
        <v>0</v>
      </c>
      <c r="P41" s="28">
        <f>O41*100/N41</f>
        <v>0</v>
      </c>
      <c r="Q41" s="29">
        <v>0</v>
      </c>
      <c r="R41" s="30">
        <f>Q41*100/N41</f>
        <v>0</v>
      </c>
      <c r="S41" s="31">
        <f t="shared" si="49"/>
        <v>24</v>
      </c>
      <c r="T41" s="31">
        <f t="shared" si="36"/>
        <v>0</v>
      </c>
      <c r="U41" s="28">
        <f>T41*100/S41</f>
        <v>0</v>
      </c>
      <c r="V41" s="31">
        <f t="shared" si="50"/>
        <v>0</v>
      </c>
      <c r="W41" s="30">
        <f>V41*100/S41</f>
        <v>0</v>
      </c>
      <c r="X41" s="31">
        <v>17</v>
      </c>
      <c r="Y41" s="29">
        <v>0</v>
      </c>
      <c r="Z41" s="28">
        <f>Y41*100/X41</f>
        <v>0</v>
      </c>
      <c r="AA41" s="29">
        <v>0</v>
      </c>
      <c r="AB41" s="30">
        <f>AA41*100/X41</f>
        <v>0</v>
      </c>
      <c r="AC41" s="31">
        <f t="shared" si="51"/>
        <v>41</v>
      </c>
      <c r="AD41" s="31">
        <f t="shared" si="41"/>
        <v>0</v>
      </c>
      <c r="AE41" s="28">
        <f>AD41*100/AC41</f>
        <v>0</v>
      </c>
      <c r="AF41" s="31">
        <f t="shared" si="52"/>
        <v>0</v>
      </c>
      <c r="AG41" s="30">
        <f>AF41*100/AC41</f>
        <v>0</v>
      </c>
      <c r="AH41" s="4"/>
      <c r="AI41" s="4"/>
    </row>
    <row r="42" spans="1:35" ht="48" thickBot="1" x14ac:dyDescent="0.35">
      <c r="A42" s="9">
        <v>15</v>
      </c>
      <c r="B42" s="9" t="s">
        <v>95</v>
      </c>
      <c r="C42" s="12" t="s">
        <v>21</v>
      </c>
      <c r="D42" s="24">
        <v>0</v>
      </c>
      <c r="E42" s="25">
        <v>0</v>
      </c>
      <c r="F42" s="26"/>
      <c r="G42" s="25">
        <v>0</v>
      </c>
      <c r="H42" s="27"/>
      <c r="I42" s="31">
        <v>0</v>
      </c>
      <c r="J42" s="29">
        <v>0</v>
      </c>
      <c r="K42" s="28"/>
      <c r="L42" s="29">
        <v>0</v>
      </c>
      <c r="M42" s="30"/>
      <c r="N42" s="31">
        <v>2</v>
      </c>
      <c r="O42" s="29">
        <v>0</v>
      </c>
      <c r="P42" s="28">
        <f>O42*100/N42</f>
        <v>0</v>
      </c>
      <c r="Q42" s="29">
        <v>0</v>
      </c>
      <c r="R42" s="30">
        <f>Q42*100/N42</f>
        <v>0</v>
      </c>
      <c r="S42" s="31">
        <f t="shared" si="49"/>
        <v>2</v>
      </c>
      <c r="T42" s="31">
        <f t="shared" si="36"/>
        <v>0</v>
      </c>
      <c r="U42" s="28">
        <f>T42*100/S42</f>
        <v>0</v>
      </c>
      <c r="V42" s="31">
        <f t="shared" si="50"/>
        <v>0</v>
      </c>
      <c r="W42" s="30">
        <f>V42*100/S42</f>
        <v>0</v>
      </c>
      <c r="X42" s="31">
        <v>0</v>
      </c>
      <c r="Y42" s="29">
        <v>0</v>
      </c>
      <c r="Z42" s="28"/>
      <c r="AA42" s="29">
        <v>0</v>
      </c>
      <c r="AB42" s="30"/>
      <c r="AC42" s="31">
        <f t="shared" si="51"/>
        <v>2</v>
      </c>
      <c r="AD42" s="31">
        <f t="shared" si="41"/>
        <v>0</v>
      </c>
      <c r="AE42" s="28">
        <f>AD42*100/AC42</f>
        <v>0</v>
      </c>
      <c r="AF42" s="31">
        <f t="shared" si="52"/>
        <v>0</v>
      </c>
      <c r="AG42" s="30">
        <f>AF42*100/AC42</f>
        <v>0</v>
      </c>
      <c r="AH42" s="4"/>
      <c r="AI42" s="4"/>
    </row>
    <row r="43" spans="1:35" ht="63.75" thickBot="1" x14ac:dyDescent="0.35">
      <c r="A43" s="9">
        <v>23</v>
      </c>
      <c r="B43" s="9" t="s">
        <v>95</v>
      </c>
      <c r="C43" s="12" t="s">
        <v>29</v>
      </c>
      <c r="D43" s="24">
        <v>1</v>
      </c>
      <c r="E43" s="25">
        <v>0</v>
      </c>
      <c r="F43" s="26">
        <f>E43*100/D43</f>
        <v>0</v>
      </c>
      <c r="G43" s="25">
        <v>0</v>
      </c>
      <c r="H43" s="27">
        <f>G43*100/D43</f>
        <v>0</v>
      </c>
      <c r="I43" s="31">
        <v>5</v>
      </c>
      <c r="J43" s="29">
        <v>0</v>
      </c>
      <c r="K43" s="28">
        <f>J43*100/I43</f>
        <v>0</v>
      </c>
      <c r="L43" s="29">
        <v>0</v>
      </c>
      <c r="M43" s="30">
        <f>L43*100/I43</f>
        <v>0</v>
      </c>
      <c r="N43" s="31">
        <v>2</v>
      </c>
      <c r="O43" s="29">
        <v>0</v>
      </c>
      <c r="P43" s="28">
        <f>O43*100/N43</f>
        <v>0</v>
      </c>
      <c r="Q43" s="29">
        <v>0</v>
      </c>
      <c r="R43" s="30">
        <f>Q43*100/N43</f>
        <v>0</v>
      </c>
      <c r="S43" s="31">
        <f t="shared" si="49"/>
        <v>8</v>
      </c>
      <c r="T43" s="31">
        <f t="shared" si="36"/>
        <v>0</v>
      </c>
      <c r="U43" s="28">
        <f>T43*100/S43</f>
        <v>0</v>
      </c>
      <c r="V43" s="31">
        <f t="shared" si="50"/>
        <v>0</v>
      </c>
      <c r="W43" s="30">
        <f>V43*100/S43</f>
        <v>0</v>
      </c>
      <c r="X43" s="31">
        <v>8</v>
      </c>
      <c r="Y43" s="29">
        <v>0</v>
      </c>
      <c r="Z43" s="28">
        <f>Y43*100/X43</f>
        <v>0</v>
      </c>
      <c r="AA43" s="29">
        <v>0</v>
      </c>
      <c r="AB43" s="30">
        <f>AA43*100/X43</f>
        <v>0</v>
      </c>
      <c r="AC43" s="31">
        <f t="shared" si="51"/>
        <v>16</v>
      </c>
      <c r="AD43" s="31">
        <f t="shared" si="41"/>
        <v>0</v>
      </c>
      <c r="AE43" s="28">
        <f>AD43*100/AC43</f>
        <v>0</v>
      </c>
      <c r="AF43" s="31">
        <f t="shared" si="52"/>
        <v>0</v>
      </c>
      <c r="AG43" s="30">
        <f>AF43*100/AC43</f>
        <v>0</v>
      </c>
      <c r="AH43" s="4"/>
      <c r="AI43" s="4"/>
    </row>
    <row r="44" spans="1:35" ht="102.6" customHeight="1" thickBot="1" x14ac:dyDescent="0.35">
      <c r="A44" s="9">
        <v>34</v>
      </c>
      <c r="B44" s="9" t="s">
        <v>95</v>
      </c>
      <c r="C44" s="12" t="s">
        <v>40</v>
      </c>
      <c r="D44" s="24">
        <v>0</v>
      </c>
      <c r="E44" s="25">
        <v>0</v>
      </c>
      <c r="F44" s="26"/>
      <c r="G44" s="25">
        <v>0</v>
      </c>
      <c r="H44" s="27"/>
      <c r="I44" s="24">
        <v>0</v>
      </c>
      <c r="J44" s="29">
        <v>0</v>
      </c>
      <c r="K44" s="28"/>
      <c r="L44" s="29">
        <v>0</v>
      </c>
      <c r="M44" s="30"/>
      <c r="N44" s="31">
        <v>0</v>
      </c>
      <c r="O44" s="29">
        <v>0</v>
      </c>
      <c r="P44" s="28"/>
      <c r="Q44" s="29">
        <v>0</v>
      </c>
      <c r="R44" s="30"/>
      <c r="S44" s="31">
        <f t="shared" si="49"/>
        <v>0</v>
      </c>
      <c r="T44" s="31">
        <f t="shared" si="36"/>
        <v>0</v>
      </c>
      <c r="U44" s="28">
        <v>0</v>
      </c>
      <c r="V44" s="31">
        <f t="shared" si="50"/>
        <v>0</v>
      </c>
      <c r="W44" s="30">
        <v>0</v>
      </c>
      <c r="X44" s="31">
        <v>0</v>
      </c>
      <c r="Y44" s="29">
        <v>0</v>
      </c>
      <c r="Z44" s="28"/>
      <c r="AA44" s="29">
        <v>0</v>
      </c>
      <c r="AB44" s="30"/>
      <c r="AC44" s="31">
        <f t="shared" si="51"/>
        <v>0</v>
      </c>
      <c r="AD44" s="31">
        <f t="shared" si="41"/>
        <v>0</v>
      </c>
      <c r="AE44" s="28">
        <v>0</v>
      </c>
      <c r="AF44" s="31">
        <f t="shared" si="52"/>
        <v>0</v>
      </c>
      <c r="AG44" s="30">
        <v>0</v>
      </c>
      <c r="AH44" s="4"/>
      <c r="AI44" s="4"/>
    </row>
    <row r="45" spans="1:35" ht="79.5" thickBot="1" x14ac:dyDescent="0.35">
      <c r="A45" s="9">
        <v>31</v>
      </c>
      <c r="B45" s="9" t="s">
        <v>95</v>
      </c>
      <c r="C45" s="12" t="s">
        <v>37</v>
      </c>
      <c r="D45" s="24">
        <v>0</v>
      </c>
      <c r="E45" s="25">
        <v>0</v>
      </c>
      <c r="F45" s="26"/>
      <c r="G45" s="25">
        <v>0</v>
      </c>
      <c r="H45" s="27"/>
      <c r="I45" s="31">
        <v>0</v>
      </c>
      <c r="J45" s="29">
        <v>0</v>
      </c>
      <c r="K45" s="28"/>
      <c r="L45" s="29">
        <v>0</v>
      </c>
      <c r="M45" s="30"/>
      <c r="N45" s="31">
        <v>0</v>
      </c>
      <c r="O45" s="29">
        <v>0</v>
      </c>
      <c r="P45" s="28"/>
      <c r="Q45" s="29">
        <v>0</v>
      </c>
      <c r="R45" s="30"/>
      <c r="S45" s="31">
        <f t="shared" si="49"/>
        <v>0</v>
      </c>
      <c r="T45" s="31">
        <f t="shared" si="36"/>
        <v>0</v>
      </c>
      <c r="U45" s="28">
        <v>0</v>
      </c>
      <c r="V45" s="31">
        <f t="shared" si="50"/>
        <v>0</v>
      </c>
      <c r="W45" s="30">
        <v>0</v>
      </c>
      <c r="X45" s="31">
        <v>0</v>
      </c>
      <c r="Y45" s="29">
        <v>0</v>
      </c>
      <c r="Z45" s="28"/>
      <c r="AA45" s="29">
        <v>0</v>
      </c>
      <c r="AB45" s="30"/>
      <c r="AC45" s="31">
        <f t="shared" si="51"/>
        <v>0</v>
      </c>
      <c r="AD45" s="31">
        <f t="shared" si="41"/>
        <v>0</v>
      </c>
      <c r="AE45" s="28">
        <v>0</v>
      </c>
      <c r="AF45" s="31">
        <f t="shared" si="52"/>
        <v>0</v>
      </c>
      <c r="AG45" s="30">
        <v>0</v>
      </c>
      <c r="AH45" s="4"/>
      <c r="AI45" s="4"/>
    </row>
    <row r="46" spans="1:35" ht="63.75" thickBot="1" x14ac:dyDescent="0.35">
      <c r="A46" s="9">
        <v>37</v>
      </c>
      <c r="B46" s="9" t="s">
        <v>95</v>
      </c>
      <c r="C46" s="12" t="s">
        <v>43</v>
      </c>
      <c r="D46" s="24">
        <v>7</v>
      </c>
      <c r="E46" s="25">
        <v>0</v>
      </c>
      <c r="F46" s="26">
        <f>E46*100/D46</f>
        <v>0</v>
      </c>
      <c r="G46" s="25">
        <v>0</v>
      </c>
      <c r="H46" s="27">
        <f>G46*100/D46</f>
        <v>0</v>
      </c>
      <c r="I46" s="24">
        <v>16</v>
      </c>
      <c r="J46" s="29">
        <v>0</v>
      </c>
      <c r="K46" s="28">
        <f>J46*100/I46</f>
        <v>0</v>
      </c>
      <c r="L46" s="29">
        <v>0</v>
      </c>
      <c r="M46" s="30">
        <f>L46*100/I46</f>
        <v>0</v>
      </c>
      <c r="N46" s="31">
        <v>10</v>
      </c>
      <c r="O46" s="29">
        <v>0</v>
      </c>
      <c r="P46" s="28">
        <f>O46*100/N46</f>
        <v>0</v>
      </c>
      <c r="Q46" s="29">
        <v>0</v>
      </c>
      <c r="R46" s="30">
        <f>Q46*100/N46</f>
        <v>0</v>
      </c>
      <c r="S46" s="31">
        <f t="shared" si="49"/>
        <v>33</v>
      </c>
      <c r="T46" s="31">
        <f t="shared" si="36"/>
        <v>0</v>
      </c>
      <c r="U46" s="28">
        <f>T46*100/S46</f>
        <v>0</v>
      </c>
      <c r="V46" s="31">
        <f t="shared" si="50"/>
        <v>0</v>
      </c>
      <c r="W46" s="30">
        <f>V46*100/S46</f>
        <v>0</v>
      </c>
      <c r="X46" s="31">
        <v>14</v>
      </c>
      <c r="Y46" s="29">
        <v>0</v>
      </c>
      <c r="Z46" s="28">
        <f>Y46*100/X46</f>
        <v>0</v>
      </c>
      <c r="AA46" s="29">
        <v>0</v>
      </c>
      <c r="AB46" s="30">
        <f>AA46*100/X46</f>
        <v>0</v>
      </c>
      <c r="AC46" s="31">
        <f t="shared" si="51"/>
        <v>47</v>
      </c>
      <c r="AD46" s="31">
        <f t="shared" si="41"/>
        <v>0</v>
      </c>
      <c r="AE46" s="28">
        <f>AD46*100/AC46</f>
        <v>0</v>
      </c>
      <c r="AF46" s="31">
        <f t="shared" si="52"/>
        <v>0</v>
      </c>
      <c r="AG46" s="30">
        <f>AF46*100/AC46</f>
        <v>0</v>
      </c>
      <c r="AH46" s="4"/>
      <c r="AI46" s="4"/>
    </row>
    <row r="47" spans="1:35" ht="48" thickBot="1" x14ac:dyDescent="0.35">
      <c r="A47" s="9">
        <v>38</v>
      </c>
      <c r="B47" s="9" t="s">
        <v>95</v>
      </c>
      <c r="C47" s="12" t="s">
        <v>44</v>
      </c>
      <c r="D47" s="24">
        <v>2</v>
      </c>
      <c r="E47" s="25">
        <v>0</v>
      </c>
      <c r="F47" s="26">
        <f>E47*100/D47</f>
        <v>0</v>
      </c>
      <c r="G47" s="25">
        <v>0</v>
      </c>
      <c r="H47" s="27">
        <f>G47*100/D47</f>
        <v>0</v>
      </c>
      <c r="I47" s="24">
        <v>4</v>
      </c>
      <c r="J47" s="29">
        <v>0</v>
      </c>
      <c r="K47" s="28">
        <f>J47*100/I47</f>
        <v>0</v>
      </c>
      <c r="L47" s="29">
        <v>0</v>
      </c>
      <c r="M47" s="30">
        <f>L47*100/I47</f>
        <v>0</v>
      </c>
      <c r="N47" s="31">
        <v>2</v>
      </c>
      <c r="O47" s="29">
        <v>0</v>
      </c>
      <c r="P47" s="28">
        <f>O47*100/N47</f>
        <v>0</v>
      </c>
      <c r="Q47" s="29">
        <v>0</v>
      </c>
      <c r="R47" s="30">
        <f>Q47*100/N47</f>
        <v>0</v>
      </c>
      <c r="S47" s="31">
        <f t="shared" si="49"/>
        <v>8</v>
      </c>
      <c r="T47" s="31">
        <f t="shared" si="36"/>
        <v>0</v>
      </c>
      <c r="U47" s="28">
        <f>T47*100/S47</f>
        <v>0</v>
      </c>
      <c r="V47" s="31">
        <f t="shared" si="50"/>
        <v>0</v>
      </c>
      <c r="W47" s="30">
        <f>V47*100/S47</f>
        <v>0</v>
      </c>
      <c r="X47" s="31">
        <v>1</v>
      </c>
      <c r="Y47" s="29">
        <v>0</v>
      </c>
      <c r="Z47" s="28">
        <f>Y47*100/X47</f>
        <v>0</v>
      </c>
      <c r="AA47" s="29">
        <v>0</v>
      </c>
      <c r="AB47" s="30">
        <f>AA47*100/X47</f>
        <v>0</v>
      </c>
      <c r="AC47" s="31">
        <f t="shared" si="51"/>
        <v>9</v>
      </c>
      <c r="AD47" s="31">
        <f t="shared" si="41"/>
        <v>0</v>
      </c>
      <c r="AE47" s="28">
        <f>AD47*100/AC47</f>
        <v>0</v>
      </c>
      <c r="AF47" s="31">
        <f t="shared" si="52"/>
        <v>0</v>
      </c>
      <c r="AG47" s="30">
        <f>AF47*100/AC47</f>
        <v>0</v>
      </c>
      <c r="AH47" s="4"/>
      <c r="AI47" s="4"/>
    </row>
    <row r="48" spans="1:35" ht="79.5" thickBot="1" x14ac:dyDescent="0.35">
      <c r="A48" s="9">
        <v>43</v>
      </c>
      <c r="B48" s="9" t="s">
        <v>95</v>
      </c>
      <c r="C48" s="12" t="s">
        <v>49</v>
      </c>
      <c r="D48" s="24">
        <v>0</v>
      </c>
      <c r="E48" s="25">
        <v>0</v>
      </c>
      <c r="F48" s="26"/>
      <c r="G48" s="25">
        <v>0</v>
      </c>
      <c r="H48" s="30"/>
      <c r="I48" s="31">
        <v>0</v>
      </c>
      <c r="J48" s="29">
        <v>0</v>
      </c>
      <c r="K48" s="28"/>
      <c r="L48" s="29">
        <v>0</v>
      </c>
      <c r="M48" s="30"/>
      <c r="N48" s="31">
        <v>0</v>
      </c>
      <c r="O48" s="29">
        <v>0</v>
      </c>
      <c r="P48" s="28"/>
      <c r="Q48" s="29">
        <v>0</v>
      </c>
      <c r="R48" s="30"/>
      <c r="S48" s="31">
        <f t="shared" si="49"/>
        <v>0</v>
      </c>
      <c r="T48" s="31">
        <f t="shared" si="36"/>
        <v>0</v>
      </c>
      <c r="U48" s="28">
        <v>0</v>
      </c>
      <c r="V48" s="31">
        <f t="shared" si="50"/>
        <v>0</v>
      </c>
      <c r="W48" s="30">
        <v>0</v>
      </c>
      <c r="X48" s="31">
        <v>0</v>
      </c>
      <c r="Y48" s="29">
        <v>0</v>
      </c>
      <c r="Z48" s="28"/>
      <c r="AA48" s="29">
        <v>0</v>
      </c>
      <c r="AB48" s="30"/>
      <c r="AC48" s="31">
        <f t="shared" si="51"/>
        <v>0</v>
      </c>
      <c r="AD48" s="31">
        <f t="shared" si="41"/>
        <v>0</v>
      </c>
      <c r="AE48" s="28">
        <v>0</v>
      </c>
      <c r="AF48" s="31">
        <f t="shared" si="52"/>
        <v>0</v>
      </c>
      <c r="AG48" s="30">
        <v>0</v>
      </c>
      <c r="AH48" s="4"/>
      <c r="AI48" s="4"/>
    </row>
    <row r="49" spans="1:35" ht="63.75" thickBot="1" x14ac:dyDescent="0.35">
      <c r="A49" s="9">
        <v>45</v>
      </c>
      <c r="B49" s="9" t="s">
        <v>95</v>
      </c>
      <c r="C49" s="12" t="s">
        <v>51</v>
      </c>
      <c r="D49" s="24">
        <v>5</v>
      </c>
      <c r="E49" s="25">
        <v>0</v>
      </c>
      <c r="F49" s="26">
        <f>E49*100/D49</f>
        <v>0</v>
      </c>
      <c r="G49" s="25">
        <v>0</v>
      </c>
      <c r="H49" s="30">
        <f>G49*100/D49</f>
        <v>0</v>
      </c>
      <c r="I49" s="31">
        <v>10</v>
      </c>
      <c r="J49" s="29">
        <v>0</v>
      </c>
      <c r="K49" s="28">
        <f>J49*100/I49</f>
        <v>0</v>
      </c>
      <c r="L49" s="29">
        <v>0</v>
      </c>
      <c r="M49" s="30">
        <f>L49*100/I49</f>
        <v>0</v>
      </c>
      <c r="N49" s="31">
        <v>8</v>
      </c>
      <c r="O49" s="29">
        <v>0</v>
      </c>
      <c r="P49" s="28">
        <f>O49*100/N49</f>
        <v>0</v>
      </c>
      <c r="Q49" s="29">
        <v>0</v>
      </c>
      <c r="R49" s="30">
        <f>Q49*100/N49</f>
        <v>0</v>
      </c>
      <c r="S49" s="31">
        <f t="shared" si="49"/>
        <v>23</v>
      </c>
      <c r="T49" s="31">
        <f t="shared" si="36"/>
        <v>0</v>
      </c>
      <c r="U49" s="28">
        <f>T49*100/S49</f>
        <v>0</v>
      </c>
      <c r="V49" s="31">
        <f t="shared" si="50"/>
        <v>0</v>
      </c>
      <c r="W49" s="30">
        <f>V49*100/S49</f>
        <v>0</v>
      </c>
      <c r="X49" s="31">
        <v>11</v>
      </c>
      <c r="Y49" s="29">
        <v>0</v>
      </c>
      <c r="Z49" s="28">
        <f>Y49*100/X49</f>
        <v>0</v>
      </c>
      <c r="AA49" s="29">
        <v>0</v>
      </c>
      <c r="AB49" s="30">
        <f>AA49*100/X49</f>
        <v>0</v>
      </c>
      <c r="AC49" s="31">
        <f t="shared" si="51"/>
        <v>34</v>
      </c>
      <c r="AD49" s="31">
        <f t="shared" si="41"/>
        <v>0</v>
      </c>
      <c r="AE49" s="28">
        <f>AD49*100/AC49</f>
        <v>0</v>
      </c>
      <c r="AF49" s="31">
        <f t="shared" si="52"/>
        <v>0</v>
      </c>
      <c r="AG49" s="30">
        <f>AF49*100/AC49</f>
        <v>0</v>
      </c>
      <c r="AH49" s="4"/>
      <c r="AI49" s="4"/>
    </row>
    <row r="50" spans="1:35" ht="46.5" customHeight="1" thickBot="1" x14ac:dyDescent="0.35">
      <c r="A50" s="9">
        <v>46</v>
      </c>
      <c r="B50" s="9" t="s">
        <v>95</v>
      </c>
      <c r="C50" s="12" t="s">
        <v>52</v>
      </c>
      <c r="D50" s="24">
        <v>5</v>
      </c>
      <c r="E50" s="25">
        <v>0</v>
      </c>
      <c r="F50" s="26">
        <f>E50*100/D50</f>
        <v>0</v>
      </c>
      <c r="G50" s="25">
        <v>0</v>
      </c>
      <c r="H50" s="30">
        <f>G50*100/D50</f>
        <v>0</v>
      </c>
      <c r="I50" s="31">
        <v>0</v>
      </c>
      <c r="J50" s="29">
        <v>0</v>
      </c>
      <c r="K50" s="28"/>
      <c r="L50" s="29">
        <v>0</v>
      </c>
      <c r="M50" s="30"/>
      <c r="N50" s="31">
        <v>9</v>
      </c>
      <c r="O50" s="29">
        <v>0</v>
      </c>
      <c r="P50" s="28">
        <f>O50*100/N50</f>
        <v>0</v>
      </c>
      <c r="Q50" s="29">
        <v>0</v>
      </c>
      <c r="R50" s="30">
        <f>Q50*100/N50</f>
        <v>0</v>
      </c>
      <c r="S50" s="31">
        <f t="shared" si="49"/>
        <v>14</v>
      </c>
      <c r="T50" s="31">
        <f t="shared" si="36"/>
        <v>0</v>
      </c>
      <c r="U50" s="28">
        <f>T50*100/S50</f>
        <v>0</v>
      </c>
      <c r="V50" s="31">
        <f t="shared" si="50"/>
        <v>0</v>
      </c>
      <c r="W50" s="30">
        <f>V50*100/S50</f>
        <v>0</v>
      </c>
      <c r="X50" s="31">
        <v>0</v>
      </c>
      <c r="Y50" s="29">
        <v>0</v>
      </c>
      <c r="Z50" s="28"/>
      <c r="AA50" s="29">
        <v>0</v>
      </c>
      <c r="AB50" s="30"/>
      <c r="AC50" s="31">
        <f t="shared" si="51"/>
        <v>14</v>
      </c>
      <c r="AD50" s="31">
        <f t="shared" si="41"/>
        <v>0</v>
      </c>
      <c r="AE50" s="28">
        <f>AD50*100/AC50</f>
        <v>0</v>
      </c>
      <c r="AF50" s="31">
        <f t="shared" si="52"/>
        <v>0</v>
      </c>
      <c r="AG50" s="30">
        <f>AF50*100/AC50</f>
        <v>0</v>
      </c>
      <c r="AH50" s="4"/>
      <c r="AI50" s="4"/>
    </row>
    <row r="51" spans="1:35" ht="43.5" customHeight="1" thickBot="1" x14ac:dyDescent="0.35">
      <c r="A51" s="10">
        <v>7</v>
      </c>
      <c r="B51" s="10" t="s">
        <v>96</v>
      </c>
      <c r="C51" s="11" t="s">
        <v>13</v>
      </c>
      <c r="D51" s="20">
        <v>694</v>
      </c>
      <c r="E51" s="21">
        <v>287</v>
      </c>
      <c r="F51" s="22">
        <f t="shared" si="30"/>
        <v>41.354466858789628</v>
      </c>
      <c r="G51" s="21">
        <v>1</v>
      </c>
      <c r="H51" s="23">
        <f t="shared" si="31"/>
        <v>0.14409221902017291</v>
      </c>
      <c r="I51" s="20">
        <v>849</v>
      </c>
      <c r="J51" s="21">
        <v>398</v>
      </c>
      <c r="K51" s="22">
        <f t="shared" si="32"/>
        <v>46.878680800942284</v>
      </c>
      <c r="L51" s="21">
        <v>2</v>
      </c>
      <c r="M51" s="23">
        <f t="shared" si="33"/>
        <v>0.23557126030624265</v>
      </c>
      <c r="N51" s="20">
        <v>720</v>
      </c>
      <c r="O51" s="21">
        <v>368</v>
      </c>
      <c r="P51" s="22">
        <f t="shared" si="34"/>
        <v>51.111111111111114</v>
      </c>
      <c r="Q51" s="21">
        <v>0</v>
      </c>
      <c r="R51" s="23">
        <f t="shared" si="17"/>
        <v>0</v>
      </c>
      <c r="S51" s="20">
        <f t="shared" si="35"/>
        <v>2263</v>
      </c>
      <c r="T51" s="20">
        <f t="shared" si="36"/>
        <v>1053</v>
      </c>
      <c r="U51" s="22">
        <f t="shared" si="37"/>
        <v>46.531153336279274</v>
      </c>
      <c r="V51" s="20">
        <f t="shared" si="38"/>
        <v>3</v>
      </c>
      <c r="W51" s="23">
        <f t="shared" si="39"/>
        <v>0.13256738842244808</v>
      </c>
      <c r="X51" s="20">
        <v>949</v>
      </c>
      <c r="Y51" s="21">
        <v>334</v>
      </c>
      <c r="Z51" s="22">
        <f t="shared" si="20"/>
        <v>35.194942044257111</v>
      </c>
      <c r="AA51" s="21">
        <v>0</v>
      </c>
      <c r="AB51" s="23">
        <f t="shared" si="21"/>
        <v>0</v>
      </c>
      <c r="AC51" s="20">
        <f t="shared" si="40"/>
        <v>3212</v>
      </c>
      <c r="AD51" s="20">
        <f t="shared" si="41"/>
        <v>1387</v>
      </c>
      <c r="AE51" s="22">
        <f t="shared" si="42"/>
        <v>43.18181818181818</v>
      </c>
      <c r="AF51" s="20">
        <f t="shared" si="43"/>
        <v>3</v>
      </c>
      <c r="AG51" s="23">
        <f t="shared" si="44"/>
        <v>9.3399750933997508E-2</v>
      </c>
    </row>
    <row r="52" spans="1:35" ht="61.5" customHeight="1" thickBot="1" x14ac:dyDescent="0.35">
      <c r="A52" s="10">
        <v>49</v>
      </c>
      <c r="B52" s="10" t="s">
        <v>96</v>
      </c>
      <c r="C52" s="11" t="s">
        <v>55</v>
      </c>
      <c r="D52" s="20">
        <v>641</v>
      </c>
      <c r="E52" s="21">
        <v>69</v>
      </c>
      <c r="F52" s="22">
        <f>E52*100/D52</f>
        <v>10.76443057722309</v>
      </c>
      <c r="G52" s="21">
        <v>2</v>
      </c>
      <c r="H52" s="23">
        <f>G52*100/D52</f>
        <v>0.31201248049921998</v>
      </c>
      <c r="I52" s="20">
        <v>440</v>
      </c>
      <c r="J52" s="21">
        <v>140</v>
      </c>
      <c r="K52" s="22">
        <f>J52*100/I52</f>
        <v>31.818181818181817</v>
      </c>
      <c r="L52" s="21">
        <v>1</v>
      </c>
      <c r="M52" s="23">
        <f>L52*100/I52</f>
        <v>0.22727272727272727</v>
      </c>
      <c r="N52" s="20">
        <v>501</v>
      </c>
      <c r="O52" s="21">
        <v>116</v>
      </c>
      <c r="P52" s="22">
        <f>O52*100/N52</f>
        <v>23.15369261477046</v>
      </c>
      <c r="Q52" s="21">
        <v>0</v>
      </c>
      <c r="R52" s="23">
        <f>Q52*100/N52</f>
        <v>0</v>
      </c>
      <c r="S52" s="20">
        <f>SUM(D52,I52,N52)</f>
        <v>1582</v>
      </c>
      <c r="T52" s="20">
        <f>SUM(E52,J52,O52)</f>
        <v>325</v>
      </c>
      <c r="U52" s="22">
        <f>T52*100/S52</f>
        <v>20.543615676359039</v>
      </c>
      <c r="V52" s="20">
        <f>SUM(G52,L52,Q52)</f>
        <v>3</v>
      </c>
      <c r="W52" s="23">
        <f>V52*100/S52</f>
        <v>0.18963337547408343</v>
      </c>
      <c r="X52" s="20">
        <v>899</v>
      </c>
      <c r="Y52" s="21">
        <v>199</v>
      </c>
      <c r="Z52" s="22">
        <f>Y52*100/X52</f>
        <v>22.135706340378199</v>
      </c>
      <c r="AA52" s="21">
        <v>0</v>
      </c>
      <c r="AB52" s="23">
        <f>AA52*100/X52</f>
        <v>0</v>
      </c>
      <c r="AC52" s="20">
        <f>S52+X52</f>
        <v>2481</v>
      </c>
      <c r="AD52" s="20">
        <f>T52+Y52</f>
        <v>524</v>
      </c>
      <c r="AE52" s="22">
        <f>AD52*100/AC52</f>
        <v>21.120515920999598</v>
      </c>
      <c r="AF52" s="20">
        <f>V52+AA52</f>
        <v>3</v>
      </c>
      <c r="AG52" s="23">
        <f>AF52*100/AC52</f>
        <v>0.12091898428053205</v>
      </c>
    </row>
    <row r="53" spans="1:35" ht="48" thickBot="1" x14ac:dyDescent="0.35">
      <c r="A53" s="9">
        <v>9</v>
      </c>
      <c r="B53" s="9" t="s">
        <v>94</v>
      </c>
      <c r="C53" s="12" t="s">
        <v>15</v>
      </c>
      <c r="D53" s="24">
        <v>8</v>
      </c>
      <c r="E53" s="25">
        <v>0</v>
      </c>
      <c r="F53" s="26">
        <f t="shared" si="30"/>
        <v>0</v>
      </c>
      <c r="G53" s="25">
        <v>0</v>
      </c>
      <c r="H53" s="27">
        <f t="shared" si="31"/>
        <v>0</v>
      </c>
      <c r="I53" s="31">
        <v>1</v>
      </c>
      <c r="J53" s="29">
        <v>0</v>
      </c>
      <c r="K53" s="28">
        <f t="shared" si="32"/>
        <v>0</v>
      </c>
      <c r="L53" s="29">
        <v>0</v>
      </c>
      <c r="M53" s="30">
        <f t="shared" si="33"/>
        <v>0</v>
      </c>
      <c r="N53" s="31">
        <v>13</v>
      </c>
      <c r="O53" s="29">
        <v>0</v>
      </c>
      <c r="P53" s="28">
        <f t="shared" si="34"/>
        <v>0</v>
      </c>
      <c r="Q53" s="29">
        <v>0</v>
      </c>
      <c r="R53" s="30">
        <f t="shared" si="17"/>
        <v>0</v>
      </c>
      <c r="S53" s="31">
        <f t="shared" si="35"/>
        <v>22</v>
      </c>
      <c r="T53" s="31">
        <f t="shared" si="36"/>
        <v>0</v>
      </c>
      <c r="U53" s="28">
        <f t="shared" si="37"/>
        <v>0</v>
      </c>
      <c r="V53" s="31">
        <f t="shared" si="38"/>
        <v>0</v>
      </c>
      <c r="W53" s="30">
        <f t="shared" si="39"/>
        <v>0</v>
      </c>
      <c r="X53" s="31">
        <v>31</v>
      </c>
      <c r="Y53" s="29">
        <v>0</v>
      </c>
      <c r="Z53" s="28">
        <f t="shared" si="20"/>
        <v>0</v>
      </c>
      <c r="AA53" s="29">
        <v>0</v>
      </c>
      <c r="AB53" s="30">
        <f t="shared" si="21"/>
        <v>0</v>
      </c>
      <c r="AC53" s="31">
        <f t="shared" si="40"/>
        <v>53</v>
      </c>
      <c r="AD53" s="31">
        <f t="shared" si="41"/>
        <v>0</v>
      </c>
      <c r="AE53" s="28">
        <f t="shared" si="42"/>
        <v>0</v>
      </c>
      <c r="AF53" s="31">
        <f t="shared" si="43"/>
        <v>0</v>
      </c>
      <c r="AG53" s="30">
        <f t="shared" si="44"/>
        <v>0</v>
      </c>
      <c r="AH53" s="4"/>
      <c r="AI53" s="4"/>
    </row>
    <row r="54" spans="1:35" ht="161.65" customHeight="1" thickBot="1" x14ac:dyDescent="0.35">
      <c r="A54" s="9">
        <v>10</v>
      </c>
      <c r="B54" s="9" t="s">
        <v>94</v>
      </c>
      <c r="C54" s="12" t="s">
        <v>16</v>
      </c>
      <c r="D54" s="24">
        <v>8</v>
      </c>
      <c r="E54" s="25">
        <v>0</v>
      </c>
      <c r="F54" s="26">
        <f t="shared" si="30"/>
        <v>0</v>
      </c>
      <c r="G54" s="25">
        <v>0</v>
      </c>
      <c r="H54" s="27">
        <f t="shared" si="31"/>
        <v>0</v>
      </c>
      <c r="I54" s="31">
        <v>0</v>
      </c>
      <c r="J54" s="29">
        <v>0</v>
      </c>
      <c r="K54" s="28"/>
      <c r="L54" s="29">
        <v>0</v>
      </c>
      <c r="M54" s="30"/>
      <c r="N54" s="31">
        <v>0</v>
      </c>
      <c r="O54" s="29">
        <v>0</v>
      </c>
      <c r="P54" s="28"/>
      <c r="Q54" s="29">
        <v>0</v>
      </c>
      <c r="R54" s="30"/>
      <c r="S54" s="31">
        <f t="shared" si="35"/>
        <v>8</v>
      </c>
      <c r="T54" s="31">
        <f t="shared" si="36"/>
        <v>0</v>
      </c>
      <c r="U54" s="28">
        <f t="shared" si="37"/>
        <v>0</v>
      </c>
      <c r="V54" s="31">
        <f t="shared" si="38"/>
        <v>0</v>
      </c>
      <c r="W54" s="30">
        <f t="shared" si="39"/>
        <v>0</v>
      </c>
      <c r="X54" s="31">
        <v>0</v>
      </c>
      <c r="Y54" s="29">
        <v>0</v>
      </c>
      <c r="Z54" s="28"/>
      <c r="AA54" s="29">
        <v>0</v>
      </c>
      <c r="AB54" s="30"/>
      <c r="AC54" s="31">
        <f t="shared" si="40"/>
        <v>8</v>
      </c>
      <c r="AD54" s="31">
        <f t="shared" si="41"/>
        <v>0</v>
      </c>
      <c r="AE54" s="28">
        <f t="shared" si="42"/>
        <v>0</v>
      </c>
      <c r="AF54" s="31">
        <f t="shared" si="43"/>
        <v>0</v>
      </c>
      <c r="AG54" s="30">
        <f t="shared" si="44"/>
        <v>0</v>
      </c>
      <c r="AH54" s="4"/>
      <c r="AI54" s="4"/>
    </row>
    <row r="55" spans="1:35" ht="48" thickBot="1" x14ac:dyDescent="0.35">
      <c r="A55" s="9">
        <v>14</v>
      </c>
      <c r="B55" s="9" t="s">
        <v>94</v>
      </c>
      <c r="C55" s="12" t="s">
        <v>20</v>
      </c>
      <c r="D55" s="24">
        <v>2</v>
      </c>
      <c r="E55" s="25">
        <v>0</v>
      </c>
      <c r="F55" s="26">
        <f t="shared" si="30"/>
        <v>0</v>
      </c>
      <c r="G55" s="25">
        <v>0</v>
      </c>
      <c r="H55" s="27">
        <f t="shared" si="31"/>
        <v>0</v>
      </c>
      <c r="I55" s="31">
        <v>0</v>
      </c>
      <c r="J55" s="29">
        <v>0</v>
      </c>
      <c r="K55" s="28"/>
      <c r="L55" s="29">
        <v>0</v>
      </c>
      <c r="M55" s="30"/>
      <c r="N55" s="31">
        <v>0</v>
      </c>
      <c r="O55" s="29">
        <v>0</v>
      </c>
      <c r="P55" s="28"/>
      <c r="Q55" s="29">
        <v>0</v>
      </c>
      <c r="R55" s="30"/>
      <c r="S55" s="31">
        <f t="shared" si="35"/>
        <v>2</v>
      </c>
      <c r="T55" s="31">
        <f t="shared" si="36"/>
        <v>0</v>
      </c>
      <c r="U55" s="28">
        <f t="shared" si="37"/>
        <v>0</v>
      </c>
      <c r="V55" s="31">
        <f t="shared" si="38"/>
        <v>0</v>
      </c>
      <c r="W55" s="30">
        <f t="shared" si="39"/>
        <v>0</v>
      </c>
      <c r="X55" s="31">
        <v>2</v>
      </c>
      <c r="Y55" s="29">
        <v>0</v>
      </c>
      <c r="Z55" s="28">
        <f t="shared" si="20"/>
        <v>0</v>
      </c>
      <c r="AA55" s="29">
        <v>0</v>
      </c>
      <c r="AB55" s="30">
        <f t="shared" si="21"/>
        <v>0</v>
      </c>
      <c r="AC55" s="31">
        <f t="shared" si="40"/>
        <v>4</v>
      </c>
      <c r="AD55" s="31">
        <f t="shared" si="41"/>
        <v>0</v>
      </c>
      <c r="AE55" s="28">
        <f t="shared" si="42"/>
        <v>0</v>
      </c>
      <c r="AF55" s="31">
        <f t="shared" si="43"/>
        <v>0</v>
      </c>
      <c r="AG55" s="30">
        <f t="shared" si="44"/>
        <v>0</v>
      </c>
      <c r="AH55" s="4"/>
      <c r="AI55" s="4"/>
    </row>
    <row r="56" spans="1:35" ht="48" thickBot="1" x14ac:dyDescent="0.35">
      <c r="A56" s="9">
        <v>58</v>
      </c>
      <c r="B56" s="9" t="s">
        <v>94</v>
      </c>
      <c r="C56" s="12" t="s">
        <v>64</v>
      </c>
      <c r="D56" s="24">
        <v>0</v>
      </c>
      <c r="E56" s="25">
        <v>0</v>
      </c>
      <c r="F56" s="26"/>
      <c r="G56" s="25">
        <v>0</v>
      </c>
      <c r="H56" s="27"/>
      <c r="I56" s="24">
        <v>0</v>
      </c>
      <c r="J56" s="29">
        <v>0</v>
      </c>
      <c r="K56" s="28"/>
      <c r="L56" s="29">
        <v>0</v>
      </c>
      <c r="M56" s="30"/>
      <c r="N56" s="31">
        <v>13</v>
      </c>
      <c r="O56" s="29">
        <v>0</v>
      </c>
      <c r="P56" s="28">
        <f>O56*100/N56</f>
        <v>0</v>
      </c>
      <c r="Q56" s="29">
        <v>0</v>
      </c>
      <c r="R56" s="30">
        <f>Q56*100/N56</f>
        <v>0</v>
      </c>
      <c r="S56" s="31">
        <f>SUM(D56,I56,N56)</f>
        <v>13</v>
      </c>
      <c r="T56" s="31">
        <f>SUM(E56,J56,O56)</f>
        <v>0</v>
      </c>
      <c r="U56" s="28">
        <f>T56*100/S56</f>
        <v>0</v>
      </c>
      <c r="V56" s="31">
        <f>SUM(G56,L56,Q56)</f>
        <v>0</v>
      </c>
      <c r="W56" s="30">
        <f>V56*100/S56</f>
        <v>0</v>
      </c>
      <c r="X56" s="31">
        <v>0</v>
      </c>
      <c r="Y56" s="29">
        <v>0</v>
      </c>
      <c r="Z56" s="28"/>
      <c r="AA56" s="29">
        <v>0</v>
      </c>
      <c r="AB56" s="30"/>
      <c r="AC56" s="31">
        <f>S56+X56</f>
        <v>13</v>
      </c>
      <c r="AD56" s="31">
        <f>T56+Y56</f>
        <v>0</v>
      </c>
      <c r="AE56" s="28">
        <f>AD56*100/AC56</f>
        <v>0</v>
      </c>
      <c r="AF56" s="31">
        <f>V56+AA56</f>
        <v>0</v>
      </c>
      <c r="AG56" s="30">
        <f>AF56*100/AC56</f>
        <v>0</v>
      </c>
      <c r="AH56" s="4"/>
    </row>
    <row r="57" spans="1:35" ht="48" thickBot="1" x14ac:dyDescent="0.35">
      <c r="A57" s="51">
        <v>4</v>
      </c>
      <c r="B57" s="51" t="s">
        <v>94</v>
      </c>
      <c r="C57" s="50" t="s">
        <v>10</v>
      </c>
      <c r="D57" s="24">
        <v>23</v>
      </c>
      <c r="E57" s="25">
        <v>0</v>
      </c>
      <c r="F57" s="26">
        <f t="shared" ref="F57" si="53">E57*100/D57</f>
        <v>0</v>
      </c>
      <c r="G57" s="25">
        <v>0</v>
      </c>
      <c r="H57" s="27">
        <f t="shared" ref="H57" si="54">G57*100/D57</f>
        <v>0</v>
      </c>
      <c r="I57" s="24">
        <v>22</v>
      </c>
      <c r="J57" s="25">
        <v>0</v>
      </c>
      <c r="K57" s="28">
        <f t="shared" ref="K57" si="55">J57*100/I57</f>
        <v>0</v>
      </c>
      <c r="L57" s="29">
        <v>0</v>
      </c>
      <c r="M57" s="30">
        <f t="shared" ref="M57" si="56">L57*100/I57</f>
        <v>0</v>
      </c>
      <c r="N57" s="31">
        <v>22</v>
      </c>
      <c r="O57" s="29">
        <v>0</v>
      </c>
      <c r="P57" s="28">
        <f t="shared" ref="P57" si="57">O57*100/N57</f>
        <v>0</v>
      </c>
      <c r="Q57" s="29">
        <v>0</v>
      </c>
      <c r="R57" s="30">
        <f t="shared" ref="R57" si="58">Q57*100/N57</f>
        <v>0</v>
      </c>
      <c r="S57" s="31">
        <v>67</v>
      </c>
      <c r="T57" s="29">
        <v>0</v>
      </c>
      <c r="U57" s="28">
        <f t="shared" ref="U57" si="59">T57*100/S57</f>
        <v>0</v>
      </c>
      <c r="V57" s="29">
        <v>0</v>
      </c>
      <c r="W57" s="30">
        <f t="shared" ref="W57" si="60">V57*100/S57</f>
        <v>0</v>
      </c>
      <c r="X57" s="31">
        <v>23</v>
      </c>
      <c r="Y57" s="29">
        <v>0</v>
      </c>
      <c r="Z57" s="28">
        <f t="shared" ref="Z57" si="61">Y57*100/X57</f>
        <v>0</v>
      </c>
      <c r="AA57" s="29">
        <v>0</v>
      </c>
      <c r="AB57" s="30">
        <f t="shared" ref="AB57" si="62">AA57*100/X57</f>
        <v>0</v>
      </c>
      <c r="AC57" s="31">
        <f>S57+X57</f>
        <v>90</v>
      </c>
      <c r="AD57" s="31">
        <f>T57+Y57</f>
        <v>0</v>
      </c>
      <c r="AE57" s="28">
        <f>AD57*100/AC57</f>
        <v>0</v>
      </c>
      <c r="AF57" s="31">
        <f>V57+AA57</f>
        <v>0</v>
      </c>
      <c r="AG57" s="30">
        <f>AF57*100/AC57</f>
        <v>0</v>
      </c>
    </row>
    <row r="58" spans="1:35" ht="61.5" customHeight="1" thickBot="1" x14ac:dyDescent="0.35">
      <c r="A58" s="9">
        <v>16</v>
      </c>
      <c r="B58" s="9" t="s">
        <v>97</v>
      </c>
      <c r="C58" s="12" t="s">
        <v>22</v>
      </c>
      <c r="D58" s="24">
        <v>1</v>
      </c>
      <c r="E58" s="25">
        <v>0</v>
      </c>
      <c r="F58" s="26">
        <f t="shared" si="30"/>
        <v>0</v>
      </c>
      <c r="G58" s="25">
        <v>0</v>
      </c>
      <c r="H58" s="27">
        <f t="shared" si="31"/>
        <v>0</v>
      </c>
      <c r="I58" s="31">
        <v>3</v>
      </c>
      <c r="J58" s="29">
        <v>0</v>
      </c>
      <c r="K58" s="28">
        <f t="shared" si="32"/>
        <v>0</v>
      </c>
      <c r="L58" s="29">
        <v>0</v>
      </c>
      <c r="M58" s="30">
        <f t="shared" si="33"/>
        <v>0</v>
      </c>
      <c r="N58" s="31">
        <v>3</v>
      </c>
      <c r="O58" s="29">
        <v>0</v>
      </c>
      <c r="P58" s="28">
        <f t="shared" si="34"/>
        <v>0</v>
      </c>
      <c r="Q58" s="29">
        <v>0</v>
      </c>
      <c r="R58" s="30">
        <f t="shared" si="17"/>
        <v>0</v>
      </c>
      <c r="S58" s="31">
        <f t="shared" si="35"/>
        <v>7</v>
      </c>
      <c r="T58" s="31">
        <f t="shared" si="36"/>
        <v>0</v>
      </c>
      <c r="U58" s="28">
        <f t="shared" si="37"/>
        <v>0</v>
      </c>
      <c r="V58" s="31">
        <f t="shared" si="38"/>
        <v>0</v>
      </c>
      <c r="W58" s="30">
        <f t="shared" si="39"/>
        <v>0</v>
      </c>
      <c r="X58" s="31">
        <v>0</v>
      </c>
      <c r="Y58" s="29">
        <v>0</v>
      </c>
      <c r="Z58" s="28"/>
      <c r="AA58" s="29">
        <v>0</v>
      </c>
      <c r="AB58" s="30"/>
      <c r="AC58" s="31">
        <f t="shared" si="40"/>
        <v>7</v>
      </c>
      <c r="AD58" s="31">
        <f t="shared" si="41"/>
        <v>0</v>
      </c>
      <c r="AE58" s="28">
        <f t="shared" si="42"/>
        <v>0</v>
      </c>
      <c r="AF58" s="31">
        <f t="shared" si="43"/>
        <v>0</v>
      </c>
      <c r="AG58" s="30">
        <f t="shared" si="44"/>
        <v>0</v>
      </c>
      <c r="AH58" s="4"/>
      <c r="AI58" s="4"/>
    </row>
    <row r="59" spans="1:35" ht="48" thickBot="1" x14ac:dyDescent="0.35">
      <c r="A59" s="9">
        <v>29</v>
      </c>
      <c r="B59" s="9" t="s">
        <v>97</v>
      </c>
      <c r="C59" s="12" t="s">
        <v>35</v>
      </c>
      <c r="D59" s="24">
        <v>58</v>
      </c>
      <c r="E59" s="25">
        <v>0</v>
      </c>
      <c r="F59" s="26">
        <f>E59*100/D59</f>
        <v>0</v>
      </c>
      <c r="G59" s="25">
        <v>0</v>
      </c>
      <c r="H59" s="27">
        <f>G59*100/D59</f>
        <v>0</v>
      </c>
      <c r="I59" s="31">
        <v>98</v>
      </c>
      <c r="J59" s="29">
        <v>0</v>
      </c>
      <c r="K59" s="28">
        <f>J59*100/I59</f>
        <v>0</v>
      </c>
      <c r="L59" s="29">
        <v>0</v>
      </c>
      <c r="M59" s="30">
        <f>L59*100/I59</f>
        <v>0</v>
      </c>
      <c r="N59" s="31">
        <v>115</v>
      </c>
      <c r="O59" s="29">
        <v>0</v>
      </c>
      <c r="P59" s="28">
        <f>O59*100/N59</f>
        <v>0</v>
      </c>
      <c r="Q59" s="29">
        <v>0</v>
      </c>
      <c r="R59" s="30">
        <f>Q59*100/N59</f>
        <v>0</v>
      </c>
      <c r="S59" s="31">
        <f>SUM(D59,I59,N59)</f>
        <v>271</v>
      </c>
      <c r="T59" s="31">
        <f>SUM(E59,J59,O59)</f>
        <v>0</v>
      </c>
      <c r="U59" s="28">
        <f>T59*100/S59</f>
        <v>0</v>
      </c>
      <c r="V59" s="31">
        <f>SUM(G59,L59,Q59)</f>
        <v>0</v>
      </c>
      <c r="W59" s="30">
        <f>V59*100/S59</f>
        <v>0</v>
      </c>
      <c r="X59" s="31">
        <v>98</v>
      </c>
      <c r="Y59" s="29">
        <v>0</v>
      </c>
      <c r="Z59" s="28">
        <f>Y59*100/X59</f>
        <v>0</v>
      </c>
      <c r="AA59" s="29">
        <v>98</v>
      </c>
      <c r="AB59" s="30">
        <f>AA59*100/X59</f>
        <v>100</v>
      </c>
      <c r="AC59" s="31">
        <f>S59+X59</f>
        <v>369</v>
      </c>
      <c r="AD59" s="31">
        <f>T59+Y59</f>
        <v>0</v>
      </c>
      <c r="AE59" s="28">
        <f>AD59*100/AC59</f>
        <v>0</v>
      </c>
      <c r="AF59" s="31">
        <f>V59+AA59</f>
        <v>98</v>
      </c>
      <c r="AG59" s="30">
        <f>AF59*100/AC59</f>
        <v>26.558265582655828</v>
      </c>
      <c r="AH59" s="4"/>
      <c r="AI59" s="4"/>
    </row>
    <row r="60" spans="1:35" ht="88.5" customHeight="1" thickBot="1" x14ac:dyDescent="0.35">
      <c r="A60" s="9">
        <v>41</v>
      </c>
      <c r="B60" s="9" t="s">
        <v>97</v>
      </c>
      <c r="C60" s="12" t="s">
        <v>47</v>
      </c>
      <c r="D60" s="24">
        <v>14</v>
      </c>
      <c r="E60" s="25">
        <v>0</v>
      </c>
      <c r="F60" s="26">
        <f>E60*100/D60</f>
        <v>0</v>
      </c>
      <c r="G60" s="25">
        <v>0</v>
      </c>
      <c r="H60" s="30">
        <f>G60*100/D60</f>
        <v>0</v>
      </c>
      <c r="I60" s="31">
        <v>112</v>
      </c>
      <c r="J60" s="29">
        <v>0</v>
      </c>
      <c r="K60" s="28">
        <f>J60*100/I60</f>
        <v>0</v>
      </c>
      <c r="L60" s="29">
        <v>0</v>
      </c>
      <c r="M60" s="30">
        <f>L60*100/I60</f>
        <v>0</v>
      </c>
      <c r="N60" s="31">
        <v>18</v>
      </c>
      <c r="O60" s="29">
        <v>0</v>
      </c>
      <c r="P60" s="28">
        <f>O60*100/N60</f>
        <v>0</v>
      </c>
      <c r="Q60" s="29">
        <v>0</v>
      </c>
      <c r="R60" s="30">
        <f>Q60*100/N60</f>
        <v>0</v>
      </c>
      <c r="S60" s="31">
        <f>SUM(D60,I60,N60)</f>
        <v>144</v>
      </c>
      <c r="T60" s="31">
        <f>SUM(E60,J60,O60)</f>
        <v>0</v>
      </c>
      <c r="U60" s="28">
        <f>T60*100/S60</f>
        <v>0</v>
      </c>
      <c r="V60" s="31">
        <f>SUM(G60,L60,Q60)</f>
        <v>0</v>
      </c>
      <c r="W60" s="30">
        <f>V60*100/S60</f>
        <v>0</v>
      </c>
      <c r="X60" s="31">
        <v>132</v>
      </c>
      <c r="Y60" s="29">
        <v>0</v>
      </c>
      <c r="Z60" s="28">
        <f>Y60*100/X60</f>
        <v>0</v>
      </c>
      <c r="AA60" s="29">
        <v>132</v>
      </c>
      <c r="AB60" s="30">
        <f>AA60*100/X60</f>
        <v>100</v>
      </c>
      <c r="AC60" s="31">
        <f>S60+X60</f>
        <v>276</v>
      </c>
      <c r="AD60" s="31">
        <f>T60+Y60</f>
        <v>0</v>
      </c>
      <c r="AE60" s="28">
        <f>AD60*100/AC60</f>
        <v>0</v>
      </c>
      <c r="AF60" s="31">
        <f>V60+AA60</f>
        <v>132</v>
      </c>
      <c r="AG60" s="30">
        <f>AF60*100/AC60</f>
        <v>47.826086956521742</v>
      </c>
      <c r="AH60" s="4"/>
      <c r="AI60" s="4"/>
    </row>
    <row r="61" spans="1:35" ht="63.75" thickBot="1" x14ac:dyDescent="0.35">
      <c r="A61" s="9">
        <v>19</v>
      </c>
      <c r="B61" s="9" t="s">
        <v>98</v>
      </c>
      <c r="C61" s="12" t="s">
        <v>25</v>
      </c>
      <c r="D61" s="24">
        <v>28</v>
      </c>
      <c r="E61" s="25">
        <v>0</v>
      </c>
      <c r="F61" s="26">
        <f t="shared" si="30"/>
        <v>0</v>
      </c>
      <c r="G61" s="25">
        <v>0</v>
      </c>
      <c r="H61" s="27">
        <f t="shared" si="31"/>
        <v>0</v>
      </c>
      <c r="I61" s="31">
        <v>101</v>
      </c>
      <c r="J61" s="29">
        <v>0</v>
      </c>
      <c r="K61" s="28">
        <f t="shared" si="32"/>
        <v>0</v>
      </c>
      <c r="L61" s="29">
        <v>0</v>
      </c>
      <c r="M61" s="30">
        <f t="shared" si="33"/>
        <v>0</v>
      </c>
      <c r="N61" s="31">
        <v>5</v>
      </c>
      <c r="O61" s="29">
        <v>0</v>
      </c>
      <c r="P61" s="28">
        <f t="shared" si="34"/>
        <v>0</v>
      </c>
      <c r="Q61" s="29">
        <v>0</v>
      </c>
      <c r="R61" s="30">
        <f t="shared" si="17"/>
        <v>0</v>
      </c>
      <c r="S61" s="31">
        <f t="shared" si="35"/>
        <v>134</v>
      </c>
      <c r="T61" s="31">
        <f t="shared" si="36"/>
        <v>0</v>
      </c>
      <c r="U61" s="28">
        <f t="shared" si="37"/>
        <v>0</v>
      </c>
      <c r="V61" s="31">
        <f t="shared" si="38"/>
        <v>0</v>
      </c>
      <c r="W61" s="30">
        <f t="shared" si="39"/>
        <v>0</v>
      </c>
      <c r="X61" s="31">
        <v>7</v>
      </c>
      <c r="Y61" s="29">
        <v>0</v>
      </c>
      <c r="Z61" s="28">
        <f t="shared" si="20"/>
        <v>0</v>
      </c>
      <c r="AA61" s="29">
        <v>0</v>
      </c>
      <c r="AB61" s="30">
        <f t="shared" si="21"/>
        <v>0</v>
      </c>
      <c r="AC61" s="31">
        <f t="shared" si="40"/>
        <v>141</v>
      </c>
      <c r="AD61" s="31">
        <f t="shared" si="41"/>
        <v>0</v>
      </c>
      <c r="AE61" s="28">
        <f t="shared" si="42"/>
        <v>0</v>
      </c>
      <c r="AF61" s="31">
        <f t="shared" si="43"/>
        <v>0</v>
      </c>
      <c r="AG61" s="30">
        <f t="shared" si="44"/>
        <v>0</v>
      </c>
      <c r="AH61" s="4"/>
      <c r="AI61" s="4"/>
    </row>
    <row r="62" spans="1:35" ht="79.5" thickBot="1" x14ac:dyDescent="0.35">
      <c r="A62" s="9">
        <v>26</v>
      </c>
      <c r="B62" s="9" t="s">
        <v>98</v>
      </c>
      <c r="C62" s="12" t="s">
        <v>32</v>
      </c>
      <c r="D62" s="24">
        <v>0</v>
      </c>
      <c r="E62" s="25">
        <v>0</v>
      </c>
      <c r="F62" s="26"/>
      <c r="G62" s="25">
        <v>0</v>
      </c>
      <c r="H62" s="27"/>
      <c r="I62" s="31">
        <v>0</v>
      </c>
      <c r="J62" s="29">
        <v>0</v>
      </c>
      <c r="K62" s="28"/>
      <c r="L62" s="29">
        <v>0</v>
      </c>
      <c r="M62" s="30"/>
      <c r="N62" s="31">
        <v>0</v>
      </c>
      <c r="O62" s="29">
        <v>0</v>
      </c>
      <c r="P62" s="28"/>
      <c r="Q62" s="29">
        <v>0</v>
      </c>
      <c r="R62" s="30"/>
      <c r="S62" s="31">
        <f t="shared" ref="S62:T66" si="63">SUM(D62,I62,N62)</f>
        <v>0</v>
      </c>
      <c r="T62" s="31">
        <f t="shared" si="63"/>
        <v>0</v>
      </c>
      <c r="U62" s="28">
        <v>0</v>
      </c>
      <c r="V62" s="31">
        <f>SUM(G62,L62,Q62)</f>
        <v>0</v>
      </c>
      <c r="W62" s="30">
        <v>0</v>
      </c>
      <c r="X62" s="31">
        <v>0</v>
      </c>
      <c r="Y62" s="29">
        <v>0</v>
      </c>
      <c r="Z62" s="28"/>
      <c r="AA62" s="29">
        <v>0</v>
      </c>
      <c r="AB62" s="30"/>
      <c r="AC62" s="31">
        <f t="shared" ref="AC62:AD66" si="64">S62+X62</f>
        <v>0</v>
      </c>
      <c r="AD62" s="31">
        <f t="shared" si="64"/>
        <v>0</v>
      </c>
      <c r="AE62" s="28">
        <v>0</v>
      </c>
      <c r="AF62" s="31">
        <f>V62+AA62</f>
        <v>0</v>
      </c>
      <c r="AG62" s="30">
        <v>0</v>
      </c>
      <c r="AH62" s="4"/>
      <c r="AI62" s="4"/>
    </row>
    <row r="63" spans="1:35" ht="126.75" thickBot="1" x14ac:dyDescent="0.35">
      <c r="A63" s="9">
        <v>33</v>
      </c>
      <c r="B63" s="9" t="s">
        <v>98</v>
      </c>
      <c r="C63" s="12" t="s">
        <v>39</v>
      </c>
      <c r="D63" s="24">
        <v>0</v>
      </c>
      <c r="E63" s="25">
        <v>0</v>
      </c>
      <c r="F63" s="26"/>
      <c r="G63" s="25">
        <v>0</v>
      </c>
      <c r="H63" s="27"/>
      <c r="I63" s="24">
        <v>0</v>
      </c>
      <c r="J63" s="29">
        <v>0</v>
      </c>
      <c r="K63" s="28"/>
      <c r="L63" s="29">
        <v>0</v>
      </c>
      <c r="M63" s="30"/>
      <c r="N63" s="31">
        <v>0</v>
      </c>
      <c r="O63" s="29">
        <v>0</v>
      </c>
      <c r="P63" s="28"/>
      <c r="Q63" s="29">
        <v>0</v>
      </c>
      <c r="R63" s="30"/>
      <c r="S63" s="31">
        <f t="shared" si="63"/>
        <v>0</v>
      </c>
      <c r="T63" s="31">
        <f t="shared" si="63"/>
        <v>0</v>
      </c>
      <c r="U63" s="28">
        <v>0</v>
      </c>
      <c r="V63" s="31">
        <f>SUM(G63,L63,Q63)</f>
        <v>0</v>
      </c>
      <c r="W63" s="30">
        <v>0</v>
      </c>
      <c r="X63" s="31">
        <v>0</v>
      </c>
      <c r="Y63" s="29">
        <v>0</v>
      </c>
      <c r="Z63" s="28"/>
      <c r="AA63" s="29">
        <v>0</v>
      </c>
      <c r="AB63" s="30"/>
      <c r="AC63" s="31">
        <f t="shared" si="64"/>
        <v>0</v>
      </c>
      <c r="AD63" s="31">
        <f t="shared" si="64"/>
        <v>0</v>
      </c>
      <c r="AE63" s="28">
        <v>0</v>
      </c>
      <c r="AF63" s="31">
        <f>V63+AA63</f>
        <v>0</v>
      </c>
      <c r="AG63" s="30">
        <v>0</v>
      </c>
      <c r="AH63" s="4"/>
      <c r="AI63" s="4"/>
    </row>
    <row r="64" spans="1:35" ht="48" thickBot="1" x14ac:dyDescent="0.35">
      <c r="A64" s="9">
        <v>42</v>
      </c>
      <c r="B64" s="9" t="s">
        <v>98</v>
      </c>
      <c r="C64" s="12" t="s">
        <v>48</v>
      </c>
      <c r="D64" s="24">
        <v>0</v>
      </c>
      <c r="E64" s="25">
        <v>0</v>
      </c>
      <c r="F64" s="26"/>
      <c r="G64" s="25">
        <v>0</v>
      </c>
      <c r="H64" s="30"/>
      <c r="I64" s="31">
        <v>0</v>
      </c>
      <c r="J64" s="29">
        <v>0</v>
      </c>
      <c r="K64" s="28"/>
      <c r="L64" s="29">
        <v>0</v>
      </c>
      <c r="M64" s="30"/>
      <c r="N64" s="31">
        <v>0</v>
      </c>
      <c r="O64" s="29">
        <v>0</v>
      </c>
      <c r="P64" s="28"/>
      <c r="Q64" s="29">
        <v>0</v>
      </c>
      <c r="R64" s="30"/>
      <c r="S64" s="31">
        <f t="shared" si="63"/>
        <v>0</v>
      </c>
      <c r="T64" s="31">
        <f t="shared" si="63"/>
        <v>0</v>
      </c>
      <c r="U64" s="28">
        <v>0</v>
      </c>
      <c r="V64" s="31">
        <f>SUM(G64,L64,Q64)</f>
        <v>0</v>
      </c>
      <c r="W64" s="30">
        <v>0</v>
      </c>
      <c r="X64" s="31">
        <v>0</v>
      </c>
      <c r="Y64" s="29">
        <v>0</v>
      </c>
      <c r="Z64" s="28"/>
      <c r="AA64" s="29">
        <v>0</v>
      </c>
      <c r="AB64" s="30"/>
      <c r="AC64" s="31">
        <f t="shared" si="64"/>
        <v>0</v>
      </c>
      <c r="AD64" s="31">
        <f t="shared" si="64"/>
        <v>0</v>
      </c>
      <c r="AE64" s="28">
        <v>0</v>
      </c>
      <c r="AF64" s="31">
        <f>V64+AA64</f>
        <v>0</v>
      </c>
      <c r="AG64" s="30">
        <v>0</v>
      </c>
      <c r="AH64" s="4"/>
      <c r="AI64" s="4"/>
    </row>
    <row r="65" spans="1:35" ht="48" thickBot="1" x14ac:dyDescent="0.35">
      <c r="A65" s="9">
        <v>52</v>
      </c>
      <c r="B65" s="9" t="s">
        <v>98</v>
      </c>
      <c r="C65" s="12" t="s">
        <v>58</v>
      </c>
      <c r="D65" s="24">
        <v>0</v>
      </c>
      <c r="E65" s="25">
        <v>0</v>
      </c>
      <c r="F65" s="26"/>
      <c r="G65" s="25">
        <v>0</v>
      </c>
      <c r="H65" s="27"/>
      <c r="I65" s="31">
        <v>0</v>
      </c>
      <c r="J65" s="29">
        <v>0</v>
      </c>
      <c r="K65" s="28"/>
      <c r="L65" s="29">
        <v>0</v>
      </c>
      <c r="M65" s="30"/>
      <c r="N65" s="31">
        <v>4</v>
      </c>
      <c r="O65" s="29">
        <v>0</v>
      </c>
      <c r="P65" s="28">
        <f>O65*100/N65</f>
        <v>0</v>
      </c>
      <c r="Q65" s="29">
        <v>0</v>
      </c>
      <c r="R65" s="30">
        <f>Q65*100/N65</f>
        <v>0</v>
      </c>
      <c r="S65" s="31">
        <f t="shared" si="63"/>
        <v>4</v>
      </c>
      <c r="T65" s="31">
        <f t="shared" si="63"/>
        <v>0</v>
      </c>
      <c r="U65" s="28">
        <f>T65*100/S65</f>
        <v>0</v>
      </c>
      <c r="V65" s="31">
        <f>SUM(G65,L65,Q65)</f>
        <v>0</v>
      </c>
      <c r="W65" s="30">
        <f>V65*100/S65</f>
        <v>0</v>
      </c>
      <c r="X65" s="31">
        <v>0</v>
      </c>
      <c r="Y65" s="29">
        <v>0</v>
      </c>
      <c r="Z65" s="28"/>
      <c r="AA65" s="29">
        <v>0</v>
      </c>
      <c r="AB65" s="30"/>
      <c r="AC65" s="31">
        <f t="shared" si="64"/>
        <v>4</v>
      </c>
      <c r="AD65" s="31">
        <f t="shared" si="64"/>
        <v>0</v>
      </c>
      <c r="AE65" s="28">
        <f>AD65*100/AC65</f>
        <v>0</v>
      </c>
      <c r="AF65" s="31">
        <f>V65+AA65</f>
        <v>0</v>
      </c>
      <c r="AG65" s="30">
        <f>AF65*100/AC65</f>
        <v>0</v>
      </c>
      <c r="AH65" s="4"/>
    </row>
    <row r="66" spans="1:35" ht="48" thickBot="1" x14ac:dyDescent="0.35">
      <c r="A66" s="9">
        <v>59</v>
      </c>
      <c r="B66" s="9" t="s">
        <v>98</v>
      </c>
      <c r="C66" s="12" t="s">
        <v>65</v>
      </c>
      <c r="D66" s="24">
        <v>0</v>
      </c>
      <c r="E66" s="25">
        <v>0</v>
      </c>
      <c r="F66" s="26"/>
      <c r="G66" s="25">
        <v>0</v>
      </c>
      <c r="H66" s="27"/>
      <c r="I66" s="24">
        <v>0</v>
      </c>
      <c r="J66" s="29">
        <v>0</v>
      </c>
      <c r="K66" s="28"/>
      <c r="L66" s="29">
        <v>0</v>
      </c>
      <c r="M66" s="30"/>
      <c r="N66" s="31">
        <v>0</v>
      </c>
      <c r="O66" s="29">
        <v>0</v>
      </c>
      <c r="P66" s="28"/>
      <c r="Q66" s="29">
        <v>0</v>
      </c>
      <c r="R66" s="30"/>
      <c r="S66" s="31">
        <f t="shared" si="63"/>
        <v>0</v>
      </c>
      <c r="T66" s="31">
        <f t="shared" si="63"/>
        <v>0</v>
      </c>
      <c r="U66" s="28">
        <v>0</v>
      </c>
      <c r="V66" s="31">
        <f>SUM(G66,L66,Q66)</f>
        <v>0</v>
      </c>
      <c r="W66" s="30">
        <v>0</v>
      </c>
      <c r="X66" s="31">
        <v>0</v>
      </c>
      <c r="Y66" s="29">
        <v>0</v>
      </c>
      <c r="Z66" s="28"/>
      <c r="AA66" s="29">
        <v>0</v>
      </c>
      <c r="AB66" s="30"/>
      <c r="AC66" s="31">
        <f t="shared" si="64"/>
        <v>0</v>
      </c>
      <c r="AD66" s="31">
        <f t="shared" si="64"/>
        <v>0</v>
      </c>
      <c r="AE66" s="28">
        <v>0</v>
      </c>
      <c r="AF66" s="31">
        <f>V66+AA66</f>
        <v>0</v>
      </c>
      <c r="AG66" s="30">
        <v>0</v>
      </c>
    </row>
    <row r="67" spans="1:35" ht="62.1" customHeight="1" thickBot="1" x14ac:dyDescent="0.35">
      <c r="A67" s="9">
        <v>21</v>
      </c>
      <c r="B67" s="9" t="s">
        <v>99</v>
      </c>
      <c r="C67" s="12" t="s">
        <v>27</v>
      </c>
      <c r="D67" s="24">
        <v>0</v>
      </c>
      <c r="E67" s="25">
        <v>0</v>
      </c>
      <c r="F67" s="26"/>
      <c r="G67" s="25">
        <v>0</v>
      </c>
      <c r="H67" s="27"/>
      <c r="I67" s="31">
        <v>0</v>
      </c>
      <c r="J67" s="29">
        <v>0</v>
      </c>
      <c r="K67" s="28"/>
      <c r="L67" s="29">
        <v>0</v>
      </c>
      <c r="M67" s="30"/>
      <c r="N67" s="31">
        <v>0</v>
      </c>
      <c r="O67" s="29">
        <v>0</v>
      </c>
      <c r="P67" s="28"/>
      <c r="Q67" s="29">
        <v>0</v>
      </c>
      <c r="R67" s="30"/>
      <c r="S67" s="31">
        <f t="shared" si="35"/>
        <v>0</v>
      </c>
      <c r="T67" s="31">
        <f t="shared" si="36"/>
        <v>0</v>
      </c>
      <c r="U67" s="28">
        <v>0</v>
      </c>
      <c r="V67" s="31">
        <f t="shared" si="38"/>
        <v>0</v>
      </c>
      <c r="W67" s="30">
        <v>0</v>
      </c>
      <c r="X67" s="31">
        <v>0</v>
      </c>
      <c r="Y67" s="29">
        <v>0</v>
      </c>
      <c r="Z67" s="28"/>
      <c r="AA67" s="29">
        <v>0</v>
      </c>
      <c r="AB67" s="30"/>
      <c r="AC67" s="31">
        <f t="shared" si="40"/>
        <v>0</v>
      </c>
      <c r="AD67" s="31">
        <f t="shared" si="41"/>
        <v>0</v>
      </c>
      <c r="AE67" s="28">
        <v>0</v>
      </c>
      <c r="AF67" s="31">
        <f t="shared" si="43"/>
        <v>0</v>
      </c>
      <c r="AG67" s="30">
        <v>0</v>
      </c>
      <c r="AH67" s="4"/>
      <c r="AI67" s="4"/>
    </row>
    <row r="68" spans="1:35" ht="63.75" thickBot="1" x14ac:dyDescent="0.35">
      <c r="A68" s="9">
        <v>27</v>
      </c>
      <c r="B68" s="9" t="s">
        <v>99</v>
      </c>
      <c r="C68" s="12" t="s">
        <v>33</v>
      </c>
      <c r="D68" s="24">
        <v>0</v>
      </c>
      <c r="E68" s="25">
        <v>0</v>
      </c>
      <c r="F68" s="26"/>
      <c r="G68" s="25">
        <v>0</v>
      </c>
      <c r="H68" s="27"/>
      <c r="I68" s="31">
        <v>0</v>
      </c>
      <c r="J68" s="29">
        <v>0</v>
      </c>
      <c r="K68" s="28"/>
      <c r="L68" s="29">
        <v>0</v>
      </c>
      <c r="M68" s="30"/>
      <c r="N68" s="31">
        <v>2</v>
      </c>
      <c r="O68" s="29">
        <v>0</v>
      </c>
      <c r="P68" s="28">
        <f t="shared" si="34"/>
        <v>0</v>
      </c>
      <c r="Q68" s="29">
        <v>0</v>
      </c>
      <c r="R68" s="30">
        <f t="shared" si="17"/>
        <v>0</v>
      </c>
      <c r="S68" s="31">
        <f t="shared" si="35"/>
        <v>2</v>
      </c>
      <c r="T68" s="31">
        <f t="shared" si="36"/>
        <v>0</v>
      </c>
      <c r="U68" s="28">
        <f t="shared" si="37"/>
        <v>0</v>
      </c>
      <c r="V68" s="31">
        <f t="shared" si="38"/>
        <v>0</v>
      </c>
      <c r="W68" s="30">
        <f t="shared" si="39"/>
        <v>0</v>
      </c>
      <c r="X68" s="31">
        <v>4</v>
      </c>
      <c r="Y68" s="29">
        <v>0</v>
      </c>
      <c r="Z68" s="28">
        <f t="shared" si="20"/>
        <v>0</v>
      </c>
      <c r="AA68" s="29">
        <v>0</v>
      </c>
      <c r="AB68" s="30">
        <f t="shared" si="21"/>
        <v>0</v>
      </c>
      <c r="AC68" s="31">
        <f t="shared" si="40"/>
        <v>6</v>
      </c>
      <c r="AD68" s="31">
        <f t="shared" si="41"/>
        <v>0</v>
      </c>
      <c r="AE68" s="28">
        <f t="shared" si="42"/>
        <v>0</v>
      </c>
      <c r="AF68" s="31">
        <f t="shared" si="43"/>
        <v>0</v>
      </c>
      <c r="AG68" s="30">
        <f t="shared" si="44"/>
        <v>0</v>
      </c>
      <c r="AH68" s="4"/>
      <c r="AI68" s="4"/>
    </row>
    <row r="69" spans="1:35" ht="32.25" thickBot="1" x14ac:dyDescent="0.35">
      <c r="A69" s="9">
        <v>35</v>
      </c>
      <c r="B69" s="9" t="s">
        <v>99</v>
      </c>
      <c r="C69" s="12" t="s">
        <v>41</v>
      </c>
      <c r="D69" s="24">
        <v>345</v>
      </c>
      <c r="E69" s="25">
        <v>0</v>
      </c>
      <c r="F69" s="26">
        <f>E69*100/D69</f>
        <v>0</v>
      </c>
      <c r="G69" s="25">
        <v>0</v>
      </c>
      <c r="H69" s="27">
        <f>G69*100/D69</f>
        <v>0</v>
      </c>
      <c r="I69" s="24">
        <v>212</v>
      </c>
      <c r="J69" s="29">
        <v>0</v>
      </c>
      <c r="K69" s="28">
        <f>J69*100/I69</f>
        <v>0</v>
      </c>
      <c r="L69" s="29">
        <v>0</v>
      </c>
      <c r="M69" s="30">
        <f>L69*100/I69</f>
        <v>0</v>
      </c>
      <c r="N69" s="31">
        <v>189</v>
      </c>
      <c r="O69" s="29">
        <v>0</v>
      </c>
      <c r="P69" s="28">
        <f>O69*100/N69</f>
        <v>0</v>
      </c>
      <c r="Q69" s="29">
        <v>0</v>
      </c>
      <c r="R69" s="30">
        <f>Q69*100/N69</f>
        <v>0</v>
      </c>
      <c r="S69" s="31">
        <f>SUM(D69,I69,N69)</f>
        <v>746</v>
      </c>
      <c r="T69" s="31">
        <f>SUM(E69,J69,O69)</f>
        <v>0</v>
      </c>
      <c r="U69" s="28">
        <f>T69*100/S69</f>
        <v>0</v>
      </c>
      <c r="V69" s="31">
        <f>SUM(G69,L69,Q69)</f>
        <v>0</v>
      </c>
      <c r="W69" s="30">
        <f>V69*100/S69</f>
        <v>0</v>
      </c>
      <c r="X69" s="31">
        <v>0</v>
      </c>
      <c r="Y69" s="29">
        <v>0</v>
      </c>
      <c r="Z69" s="28"/>
      <c r="AA69" s="29">
        <v>0</v>
      </c>
      <c r="AB69" s="30"/>
      <c r="AC69" s="31">
        <f>S69+X69</f>
        <v>746</v>
      </c>
      <c r="AD69" s="31">
        <f>T69+Y69</f>
        <v>0</v>
      </c>
      <c r="AE69" s="28">
        <f>AD69*100/AC69</f>
        <v>0</v>
      </c>
      <c r="AF69" s="31">
        <f>V69+AA69</f>
        <v>0</v>
      </c>
      <c r="AG69" s="30">
        <f>AF69*100/AC69</f>
        <v>0</v>
      </c>
      <c r="AH69" s="4"/>
      <c r="AI69" s="4"/>
    </row>
    <row r="70" spans="1:35" ht="63.75" thickBot="1" x14ac:dyDescent="0.35">
      <c r="A70" s="9">
        <v>84</v>
      </c>
      <c r="B70" s="9" t="s">
        <v>99</v>
      </c>
      <c r="C70" s="12" t="s">
        <v>89</v>
      </c>
      <c r="D70" s="35">
        <v>0</v>
      </c>
      <c r="E70" s="36">
        <v>0</v>
      </c>
      <c r="F70" s="37"/>
      <c r="G70" s="36">
        <v>0</v>
      </c>
      <c r="H70" s="38"/>
      <c r="I70" s="39">
        <v>0</v>
      </c>
      <c r="J70" s="40">
        <v>0</v>
      </c>
      <c r="K70" s="41"/>
      <c r="L70" s="40">
        <v>0</v>
      </c>
      <c r="M70" s="42"/>
      <c r="N70" s="39">
        <v>0</v>
      </c>
      <c r="O70" s="40">
        <v>0</v>
      </c>
      <c r="P70" s="41"/>
      <c r="Q70" s="40">
        <v>0</v>
      </c>
      <c r="R70" s="42"/>
      <c r="S70" s="31">
        <f>SUM(D70,I70,N70)</f>
        <v>0</v>
      </c>
      <c r="T70" s="31">
        <f>SUM(E70,J70,O70)</f>
        <v>0</v>
      </c>
      <c r="U70" s="28">
        <v>0</v>
      </c>
      <c r="V70" s="31">
        <f>SUM(G70,L70,Q70)</f>
        <v>0</v>
      </c>
      <c r="W70" s="30">
        <v>0</v>
      </c>
      <c r="X70" s="39">
        <v>0</v>
      </c>
      <c r="Y70" s="40"/>
      <c r="Z70" s="41"/>
      <c r="AA70" s="40"/>
      <c r="AB70" s="42"/>
      <c r="AC70" s="31">
        <f>S70+X70</f>
        <v>0</v>
      </c>
      <c r="AD70" s="31">
        <f>T70+Y70</f>
        <v>0</v>
      </c>
      <c r="AE70" s="28">
        <v>0</v>
      </c>
      <c r="AF70" s="31">
        <f>V70+AA70</f>
        <v>0</v>
      </c>
      <c r="AG70" s="30">
        <v>0</v>
      </c>
      <c r="AH70" s="4"/>
    </row>
    <row r="71" spans="1:35" ht="48" thickBot="1" x14ac:dyDescent="0.35">
      <c r="A71" s="9">
        <v>44</v>
      </c>
      <c r="B71" s="9" t="s">
        <v>101</v>
      </c>
      <c r="C71" s="12" t="s">
        <v>50</v>
      </c>
      <c r="D71" s="24">
        <v>3</v>
      </c>
      <c r="E71" s="25">
        <v>0</v>
      </c>
      <c r="F71" s="26">
        <f t="shared" si="30"/>
        <v>0</v>
      </c>
      <c r="G71" s="25">
        <v>1</v>
      </c>
      <c r="H71" s="30">
        <f t="shared" si="31"/>
        <v>33.333333333333336</v>
      </c>
      <c r="I71" s="31">
        <v>16</v>
      </c>
      <c r="J71" s="29">
        <v>0</v>
      </c>
      <c r="K71" s="28">
        <f t="shared" si="32"/>
        <v>0</v>
      </c>
      <c r="L71" s="29">
        <v>10</v>
      </c>
      <c r="M71" s="30">
        <f t="shared" si="33"/>
        <v>62.5</v>
      </c>
      <c r="N71" s="31">
        <v>7</v>
      </c>
      <c r="O71" s="29">
        <v>0</v>
      </c>
      <c r="P71" s="28">
        <f t="shared" si="34"/>
        <v>0</v>
      </c>
      <c r="Q71" s="29">
        <v>0</v>
      </c>
      <c r="R71" s="30">
        <f t="shared" si="17"/>
        <v>0</v>
      </c>
      <c r="S71" s="31">
        <f t="shared" si="35"/>
        <v>26</v>
      </c>
      <c r="T71" s="31">
        <f t="shared" si="36"/>
        <v>0</v>
      </c>
      <c r="U71" s="28">
        <f t="shared" si="37"/>
        <v>0</v>
      </c>
      <c r="V71" s="31">
        <f t="shared" si="38"/>
        <v>11</v>
      </c>
      <c r="W71" s="30">
        <f t="shared" si="39"/>
        <v>42.307692307692307</v>
      </c>
      <c r="X71" s="31">
        <v>4</v>
      </c>
      <c r="Y71" s="29">
        <v>0</v>
      </c>
      <c r="Z71" s="28">
        <f t="shared" si="20"/>
        <v>0</v>
      </c>
      <c r="AA71" s="29">
        <v>0</v>
      </c>
      <c r="AB71" s="30">
        <f t="shared" si="21"/>
        <v>0</v>
      </c>
      <c r="AC71" s="31">
        <f t="shared" si="40"/>
        <v>30</v>
      </c>
      <c r="AD71" s="31">
        <f t="shared" si="41"/>
        <v>0</v>
      </c>
      <c r="AE71" s="28">
        <f t="shared" si="42"/>
        <v>0</v>
      </c>
      <c r="AF71" s="31">
        <f t="shared" si="43"/>
        <v>11</v>
      </c>
      <c r="AG71" s="30">
        <f t="shared" si="44"/>
        <v>36.666666666666664</v>
      </c>
      <c r="AH71" s="4"/>
      <c r="AI71" s="4"/>
    </row>
    <row r="72" spans="1:35" ht="79.5" thickBot="1" x14ac:dyDescent="0.35">
      <c r="A72" s="9">
        <v>53</v>
      </c>
      <c r="B72" s="9" t="s">
        <v>101</v>
      </c>
      <c r="C72" s="12" t="s">
        <v>59</v>
      </c>
      <c r="D72" s="24">
        <v>0</v>
      </c>
      <c r="E72" s="25">
        <v>0</v>
      </c>
      <c r="F72" s="26"/>
      <c r="G72" s="25">
        <v>0</v>
      </c>
      <c r="H72" s="27"/>
      <c r="I72" s="31">
        <v>0</v>
      </c>
      <c r="J72" s="29">
        <v>0</v>
      </c>
      <c r="K72" s="28"/>
      <c r="L72" s="29">
        <v>0</v>
      </c>
      <c r="M72" s="30"/>
      <c r="N72" s="31">
        <v>0</v>
      </c>
      <c r="O72" s="29">
        <v>0</v>
      </c>
      <c r="P72" s="28"/>
      <c r="Q72" s="29">
        <v>0</v>
      </c>
      <c r="R72" s="30"/>
      <c r="S72" s="31">
        <f t="shared" si="35"/>
        <v>0</v>
      </c>
      <c r="T72" s="31">
        <f t="shared" si="36"/>
        <v>0</v>
      </c>
      <c r="U72" s="28">
        <v>0</v>
      </c>
      <c r="V72" s="31">
        <f t="shared" si="38"/>
        <v>0</v>
      </c>
      <c r="W72" s="30">
        <v>0</v>
      </c>
      <c r="X72" s="31">
        <v>0</v>
      </c>
      <c r="Y72" s="29">
        <v>0</v>
      </c>
      <c r="Z72" s="28"/>
      <c r="AA72" s="29">
        <v>0</v>
      </c>
      <c r="AB72" s="30"/>
      <c r="AC72" s="31">
        <f t="shared" si="40"/>
        <v>0</v>
      </c>
      <c r="AD72" s="31">
        <f t="shared" si="41"/>
        <v>0</v>
      </c>
      <c r="AE72" s="28">
        <v>0</v>
      </c>
      <c r="AF72" s="31">
        <f t="shared" si="43"/>
        <v>0</v>
      </c>
      <c r="AG72" s="30">
        <v>0</v>
      </c>
      <c r="AH72" s="4"/>
    </row>
    <row r="73" spans="1:35" ht="76.150000000000006" customHeight="1" thickBot="1" x14ac:dyDescent="0.35">
      <c r="A73" s="9">
        <v>54</v>
      </c>
      <c r="B73" s="9" t="s">
        <v>101</v>
      </c>
      <c r="C73" s="12" t="s">
        <v>60</v>
      </c>
      <c r="D73" s="24">
        <v>0</v>
      </c>
      <c r="E73" s="25">
        <v>0</v>
      </c>
      <c r="F73" s="26"/>
      <c r="G73" s="25">
        <v>0</v>
      </c>
      <c r="H73" s="27"/>
      <c r="I73" s="31">
        <v>0</v>
      </c>
      <c r="J73" s="29">
        <v>0</v>
      </c>
      <c r="K73" s="28"/>
      <c r="L73" s="29">
        <v>0</v>
      </c>
      <c r="M73" s="30"/>
      <c r="N73" s="31">
        <v>0</v>
      </c>
      <c r="O73" s="29">
        <v>0</v>
      </c>
      <c r="P73" s="28"/>
      <c r="Q73" s="29">
        <v>0</v>
      </c>
      <c r="R73" s="30"/>
      <c r="S73" s="31">
        <f t="shared" si="35"/>
        <v>0</v>
      </c>
      <c r="T73" s="31">
        <f t="shared" si="36"/>
        <v>0</v>
      </c>
      <c r="U73" s="28">
        <v>0</v>
      </c>
      <c r="V73" s="31">
        <f t="shared" si="38"/>
        <v>0</v>
      </c>
      <c r="W73" s="30">
        <v>0</v>
      </c>
      <c r="X73" s="31">
        <v>0</v>
      </c>
      <c r="Y73" s="29">
        <v>0</v>
      </c>
      <c r="Z73" s="28"/>
      <c r="AA73" s="29">
        <v>0</v>
      </c>
      <c r="AB73" s="30"/>
      <c r="AC73" s="31">
        <f t="shared" si="40"/>
        <v>0</v>
      </c>
      <c r="AD73" s="31">
        <f t="shared" si="41"/>
        <v>0</v>
      </c>
      <c r="AE73" s="28">
        <v>0</v>
      </c>
      <c r="AF73" s="31">
        <f t="shared" si="43"/>
        <v>0</v>
      </c>
      <c r="AG73" s="30">
        <v>0</v>
      </c>
      <c r="AH73" s="4"/>
    </row>
    <row r="74" spans="1:35" ht="138.75" customHeight="1" thickBot="1" x14ac:dyDescent="0.35">
      <c r="A74" s="9">
        <v>30</v>
      </c>
      <c r="B74" s="9" t="s">
        <v>100</v>
      </c>
      <c r="C74" s="12" t="s">
        <v>36</v>
      </c>
      <c r="D74" s="24">
        <v>0</v>
      </c>
      <c r="E74" s="25">
        <v>0</v>
      </c>
      <c r="F74" s="26"/>
      <c r="G74" s="25">
        <v>0</v>
      </c>
      <c r="H74" s="27"/>
      <c r="I74" s="31">
        <v>0</v>
      </c>
      <c r="J74" s="29">
        <v>0</v>
      </c>
      <c r="K74" s="28"/>
      <c r="L74" s="29">
        <v>0</v>
      </c>
      <c r="M74" s="30"/>
      <c r="N74" s="31">
        <v>0</v>
      </c>
      <c r="O74" s="29">
        <v>0</v>
      </c>
      <c r="P74" s="28"/>
      <c r="Q74" s="29">
        <v>0</v>
      </c>
      <c r="R74" s="30"/>
      <c r="S74" s="31">
        <f>SUM(D74,I74,N74)</f>
        <v>0</v>
      </c>
      <c r="T74" s="31">
        <f>SUM(E74,J74,O74)</f>
        <v>0</v>
      </c>
      <c r="U74" s="28">
        <v>0</v>
      </c>
      <c r="V74" s="31">
        <f>SUM(G74,L74,Q74)</f>
        <v>0</v>
      </c>
      <c r="W74" s="30">
        <v>0</v>
      </c>
      <c r="X74" s="31">
        <v>0</v>
      </c>
      <c r="Y74" s="29">
        <v>0</v>
      </c>
      <c r="Z74" s="28"/>
      <c r="AA74" s="29">
        <v>0</v>
      </c>
      <c r="AB74" s="30"/>
      <c r="AC74" s="31">
        <f>S74+X74</f>
        <v>0</v>
      </c>
      <c r="AD74" s="31">
        <f>T74+Y74</f>
        <v>0</v>
      </c>
      <c r="AE74" s="28">
        <v>0</v>
      </c>
      <c r="AF74" s="31">
        <f>V74+AA74</f>
        <v>0</v>
      </c>
      <c r="AG74" s="30">
        <v>0</v>
      </c>
      <c r="AH74" s="4"/>
      <c r="AI74" s="4"/>
    </row>
    <row r="75" spans="1:35" ht="95.25" thickBot="1" x14ac:dyDescent="0.35">
      <c r="A75" s="10">
        <v>60</v>
      </c>
      <c r="B75" s="10" t="s">
        <v>100</v>
      </c>
      <c r="C75" s="11" t="s">
        <v>66</v>
      </c>
      <c r="D75" s="20">
        <v>4</v>
      </c>
      <c r="E75" s="21">
        <v>4</v>
      </c>
      <c r="F75" s="22">
        <f t="shared" si="30"/>
        <v>100</v>
      </c>
      <c r="G75" s="21">
        <v>0</v>
      </c>
      <c r="H75" s="23">
        <f t="shared" si="31"/>
        <v>0</v>
      </c>
      <c r="I75" s="20">
        <v>3</v>
      </c>
      <c r="J75" s="21">
        <v>0</v>
      </c>
      <c r="K75" s="22">
        <f t="shared" si="32"/>
        <v>0</v>
      </c>
      <c r="L75" s="21">
        <v>3</v>
      </c>
      <c r="M75" s="23">
        <f t="shared" si="33"/>
        <v>100</v>
      </c>
      <c r="N75" s="20">
        <v>7</v>
      </c>
      <c r="O75" s="21">
        <v>7</v>
      </c>
      <c r="P75" s="22">
        <f t="shared" si="34"/>
        <v>100</v>
      </c>
      <c r="Q75" s="21">
        <v>0</v>
      </c>
      <c r="R75" s="23">
        <f t="shared" si="17"/>
        <v>0</v>
      </c>
      <c r="S75" s="20">
        <f t="shared" si="35"/>
        <v>14</v>
      </c>
      <c r="T75" s="20">
        <f t="shared" si="36"/>
        <v>11</v>
      </c>
      <c r="U75" s="22">
        <f t="shared" si="37"/>
        <v>78.571428571428569</v>
      </c>
      <c r="V75" s="20">
        <f t="shared" si="38"/>
        <v>3</v>
      </c>
      <c r="W75" s="23">
        <f t="shared" si="39"/>
        <v>21.428571428571427</v>
      </c>
      <c r="X75" s="20">
        <v>15</v>
      </c>
      <c r="Y75" s="21">
        <v>13</v>
      </c>
      <c r="Z75" s="22">
        <f t="shared" si="20"/>
        <v>86.666666666666671</v>
      </c>
      <c r="AA75" s="21">
        <v>0</v>
      </c>
      <c r="AB75" s="23">
        <f t="shared" si="21"/>
        <v>0</v>
      </c>
      <c r="AC75" s="20">
        <f t="shared" si="40"/>
        <v>29</v>
      </c>
      <c r="AD75" s="20">
        <f t="shared" si="41"/>
        <v>24</v>
      </c>
      <c r="AE75" s="22">
        <f t="shared" si="42"/>
        <v>82.758620689655174</v>
      </c>
      <c r="AF75" s="20">
        <f t="shared" si="43"/>
        <v>3</v>
      </c>
      <c r="AG75" s="23">
        <f t="shared" si="44"/>
        <v>10.344827586206897</v>
      </c>
    </row>
    <row r="76" spans="1:35" ht="32.25" thickBot="1" x14ac:dyDescent="0.35">
      <c r="A76" s="9">
        <v>61</v>
      </c>
      <c r="B76" s="9" t="s">
        <v>100</v>
      </c>
      <c r="C76" s="12" t="s">
        <v>67</v>
      </c>
      <c r="D76" s="24">
        <v>16</v>
      </c>
      <c r="E76" s="25">
        <v>0</v>
      </c>
      <c r="F76" s="26">
        <f t="shared" si="30"/>
        <v>0</v>
      </c>
      <c r="G76" s="25">
        <v>0</v>
      </c>
      <c r="H76" s="27">
        <f t="shared" si="31"/>
        <v>0</v>
      </c>
      <c r="I76" s="31">
        <v>23</v>
      </c>
      <c r="J76" s="29">
        <v>0</v>
      </c>
      <c r="K76" s="28">
        <f t="shared" si="32"/>
        <v>0</v>
      </c>
      <c r="L76" s="29">
        <v>0</v>
      </c>
      <c r="M76" s="30">
        <f t="shared" si="33"/>
        <v>0</v>
      </c>
      <c r="N76" s="31">
        <v>17</v>
      </c>
      <c r="O76" s="29">
        <v>0</v>
      </c>
      <c r="P76" s="28">
        <f t="shared" si="34"/>
        <v>0</v>
      </c>
      <c r="Q76" s="29">
        <v>0</v>
      </c>
      <c r="R76" s="30">
        <f t="shared" si="17"/>
        <v>0</v>
      </c>
      <c r="S76" s="31">
        <f t="shared" si="35"/>
        <v>56</v>
      </c>
      <c r="T76" s="31">
        <f t="shared" si="36"/>
        <v>0</v>
      </c>
      <c r="U76" s="28">
        <f t="shared" si="37"/>
        <v>0</v>
      </c>
      <c r="V76" s="31">
        <f t="shared" si="38"/>
        <v>0</v>
      </c>
      <c r="W76" s="30">
        <f t="shared" si="39"/>
        <v>0</v>
      </c>
      <c r="X76" s="31">
        <v>13</v>
      </c>
      <c r="Y76" s="29">
        <v>0</v>
      </c>
      <c r="Z76" s="28">
        <f t="shared" si="20"/>
        <v>0</v>
      </c>
      <c r="AA76" s="29">
        <v>0</v>
      </c>
      <c r="AB76" s="30">
        <f t="shared" si="21"/>
        <v>0</v>
      </c>
      <c r="AC76" s="31">
        <f t="shared" si="40"/>
        <v>69</v>
      </c>
      <c r="AD76" s="31">
        <f t="shared" si="41"/>
        <v>0</v>
      </c>
      <c r="AE76" s="28">
        <f t="shared" si="42"/>
        <v>0</v>
      </c>
      <c r="AF76" s="31">
        <f t="shared" si="43"/>
        <v>0</v>
      </c>
      <c r="AG76" s="30">
        <f t="shared" si="44"/>
        <v>0</v>
      </c>
      <c r="AH76" s="4"/>
      <c r="AI76" s="4"/>
    </row>
    <row r="77" spans="1:35" ht="63.6" customHeight="1" thickBot="1" x14ac:dyDescent="0.35">
      <c r="A77" s="9">
        <v>62</v>
      </c>
      <c r="B77" s="9" t="s">
        <v>100</v>
      </c>
      <c r="C77" s="12" t="s">
        <v>68</v>
      </c>
      <c r="D77" s="24">
        <v>1</v>
      </c>
      <c r="E77" s="25">
        <v>0</v>
      </c>
      <c r="F77" s="26">
        <f t="shared" si="30"/>
        <v>0</v>
      </c>
      <c r="G77" s="25">
        <v>0</v>
      </c>
      <c r="H77" s="27">
        <f t="shared" si="31"/>
        <v>0</v>
      </c>
      <c r="I77" s="31">
        <v>4</v>
      </c>
      <c r="J77" s="29">
        <v>0</v>
      </c>
      <c r="K77" s="28">
        <f t="shared" si="32"/>
        <v>0</v>
      </c>
      <c r="L77" s="29">
        <v>0</v>
      </c>
      <c r="M77" s="30">
        <f t="shared" si="33"/>
        <v>0</v>
      </c>
      <c r="N77" s="31">
        <v>0</v>
      </c>
      <c r="O77" s="29">
        <v>0</v>
      </c>
      <c r="P77" s="28"/>
      <c r="Q77" s="29">
        <v>0</v>
      </c>
      <c r="R77" s="30"/>
      <c r="S77" s="31">
        <f t="shared" si="35"/>
        <v>5</v>
      </c>
      <c r="T77" s="31">
        <f t="shared" si="36"/>
        <v>0</v>
      </c>
      <c r="U77" s="28">
        <f t="shared" si="37"/>
        <v>0</v>
      </c>
      <c r="V77" s="31">
        <f t="shared" si="38"/>
        <v>0</v>
      </c>
      <c r="W77" s="30">
        <f t="shared" si="39"/>
        <v>0</v>
      </c>
      <c r="X77" s="31">
        <v>17</v>
      </c>
      <c r="Y77" s="29">
        <v>0</v>
      </c>
      <c r="Z77" s="28">
        <f t="shared" si="20"/>
        <v>0</v>
      </c>
      <c r="AA77" s="29">
        <v>0</v>
      </c>
      <c r="AB77" s="30">
        <f t="shared" si="21"/>
        <v>0</v>
      </c>
      <c r="AC77" s="31">
        <f t="shared" si="40"/>
        <v>22</v>
      </c>
      <c r="AD77" s="31">
        <f t="shared" si="41"/>
        <v>0</v>
      </c>
      <c r="AE77" s="28">
        <f t="shared" si="42"/>
        <v>0</v>
      </c>
      <c r="AF77" s="31">
        <f t="shared" si="43"/>
        <v>0</v>
      </c>
      <c r="AG77" s="30">
        <f t="shared" si="44"/>
        <v>0</v>
      </c>
      <c r="AH77" s="4"/>
      <c r="AI77" s="4"/>
    </row>
    <row r="78" spans="1:35" ht="77.099999999999994" customHeight="1" thickBot="1" x14ac:dyDescent="0.35">
      <c r="A78" s="9">
        <v>63</v>
      </c>
      <c r="B78" s="9" t="s">
        <v>100</v>
      </c>
      <c r="C78" s="12" t="s">
        <v>69</v>
      </c>
      <c r="D78" s="24">
        <v>0</v>
      </c>
      <c r="E78" s="25">
        <v>0</v>
      </c>
      <c r="F78" s="26"/>
      <c r="G78" s="25">
        <v>0</v>
      </c>
      <c r="H78" s="27"/>
      <c r="I78" s="31">
        <v>0</v>
      </c>
      <c r="J78" s="29">
        <v>0</v>
      </c>
      <c r="K78" s="28"/>
      <c r="L78" s="29">
        <v>0</v>
      </c>
      <c r="M78" s="30"/>
      <c r="N78" s="31">
        <v>0</v>
      </c>
      <c r="O78" s="29">
        <v>0</v>
      </c>
      <c r="P78" s="28"/>
      <c r="Q78" s="29">
        <v>0</v>
      </c>
      <c r="R78" s="30"/>
      <c r="S78" s="31">
        <f t="shared" si="35"/>
        <v>0</v>
      </c>
      <c r="T78" s="31">
        <f t="shared" si="36"/>
        <v>0</v>
      </c>
      <c r="U78" s="28">
        <v>0</v>
      </c>
      <c r="V78" s="31">
        <f t="shared" si="38"/>
        <v>0</v>
      </c>
      <c r="W78" s="30">
        <v>0</v>
      </c>
      <c r="X78" s="31">
        <v>0</v>
      </c>
      <c r="Y78" s="29">
        <v>0</v>
      </c>
      <c r="Z78" s="28"/>
      <c r="AA78" s="29">
        <v>0</v>
      </c>
      <c r="AB78" s="30"/>
      <c r="AC78" s="31">
        <f t="shared" si="40"/>
        <v>0</v>
      </c>
      <c r="AD78" s="31">
        <f t="shared" si="41"/>
        <v>0</v>
      </c>
      <c r="AE78" s="28">
        <v>0</v>
      </c>
      <c r="AF78" s="31">
        <f t="shared" si="43"/>
        <v>0</v>
      </c>
      <c r="AG78" s="30">
        <v>0</v>
      </c>
      <c r="AH78" s="4"/>
      <c r="AI78" s="4"/>
    </row>
    <row r="79" spans="1:35" ht="32.25" thickBot="1" x14ac:dyDescent="0.35">
      <c r="A79" s="9">
        <v>64</v>
      </c>
      <c r="B79" s="9" t="s">
        <v>100</v>
      </c>
      <c r="C79" s="12" t="s">
        <v>70</v>
      </c>
      <c r="D79" s="24">
        <v>4</v>
      </c>
      <c r="E79" s="25">
        <v>0</v>
      </c>
      <c r="F79" s="26">
        <f t="shared" si="30"/>
        <v>0</v>
      </c>
      <c r="G79" s="25">
        <v>0</v>
      </c>
      <c r="H79" s="27">
        <f t="shared" si="31"/>
        <v>0</v>
      </c>
      <c r="I79" s="31">
        <v>4</v>
      </c>
      <c r="J79" s="29">
        <v>0</v>
      </c>
      <c r="K79" s="28">
        <f t="shared" si="32"/>
        <v>0</v>
      </c>
      <c r="L79" s="29">
        <v>0</v>
      </c>
      <c r="M79" s="30">
        <f t="shared" si="33"/>
        <v>0</v>
      </c>
      <c r="N79" s="31">
        <v>10</v>
      </c>
      <c r="O79" s="29">
        <v>0</v>
      </c>
      <c r="P79" s="28">
        <f t="shared" si="34"/>
        <v>0</v>
      </c>
      <c r="Q79" s="29">
        <v>0</v>
      </c>
      <c r="R79" s="30">
        <f t="shared" si="17"/>
        <v>0</v>
      </c>
      <c r="S79" s="31">
        <f t="shared" si="35"/>
        <v>18</v>
      </c>
      <c r="T79" s="31">
        <f t="shared" si="36"/>
        <v>0</v>
      </c>
      <c r="U79" s="28">
        <f t="shared" si="37"/>
        <v>0</v>
      </c>
      <c r="V79" s="31">
        <f t="shared" si="38"/>
        <v>0</v>
      </c>
      <c r="W79" s="30">
        <f t="shared" si="39"/>
        <v>0</v>
      </c>
      <c r="X79" s="31">
        <v>28</v>
      </c>
      <c r="Y79" s="29">
        <v>0</v>
      </c>
      <c r="Z79" s="28">
        <f t="shared" si="20"/>
        <v>0</v>
      </c>
      <c r="AA79" s="29">
        <v>0</v>
      </c>
      <c r="AB79" s="30">
        <f t="shared" si="21"/>
        <v>0</v>
      </c>
      <c r="AC79" s="31">
        <f t="shared" si="40"/>
        <v>46</v>
      </c>
      <c r="AD79" s="31">
        <f t="shared" si="41"/>
        <v>0</v>
      </c>
      <c r="AE79" s="28">
        <f t="shared" si="42"/>
        <v>0</v>
      </c>
      <c r="AF79" s="31">
        <f t="shared" si="43"/>
        <v>0</v>
      </c>
      <c r="AG79" s="30">
        <f t="shared" si="44"/>
        <v>0</v>
      </c>
      <c r="AH79" s="4"/>
      <c r="AI79" s="4"/>
    </row>
    <row r="80" spans="1:35" ht="48" thickBot="1" x14ac:dyDescent="0.35">
      <c r="A80" s="9">
        <v>65</v>
      </c>
      <c r="B80" s="9" t="s">
        <v>100</v>
      </c>
      <c r="C80" s="12" t="s">
        <v>71</v>
      </c>
      <c r="D80" s="24">
        <v>0</v>
      </c>
      <c r="E80" s="25">
        <v>0</v>
      </c>
      <c r="F80" s="26"/>
      <c r="G80" s="25">
        <v>0</v>
      </c>
      <c r="H80" s="27"/>
      <c r="I80" s="31">
        <v>0</v>
      </c>
      <c r="J80" s="29">
        <v>0</v>
      </c>
      <c r="K80" s="28"/>
      <c r="L80" s="29">
        <v>0</v>
      </c>
      <c r="M80" s="30"/>
      <c r="N80" s="31">
        <v>0</v>
      </c>
      <c r="O80" s="29">
        <v>0</v>
      </c>
      <c r="P80" s="28"/>
      <c r="Q80" s="29">
        <v>0</v>
      </c>
      <c r="R80" s="30"/>
      <c r="S80" s="31">
        <f t="shared" si="35"/>
        <v>0</v>
      </c>
      <c r="T80" s="31">
        <f t="shared" si="36"/>
        <v>0</v>
      </c>
      <c r="U80" s="28">
        <v>0</v>
      </c>
      <c r="V80" s="31">
        <f t="shared" si="38"/>
        <v>0</v>
      </c>
      <c r="W80" s="30">
        <v>0</v>
      </c>
      <c r="X80" s="31">
        <v>3</v>
      </c>
      <c r="Y80" s="29">
        <v>0</v>
      </c>
      <c r="Z80" s="28">
        <f t="shared" ref="Z80:Z87" si="65">Y80*100/X80</f>
        <v>0</v>
      </c>
      <c r="AA80" s="29">
        <v>0</v>
      </c>
      <c r="AB80" s="30">
        <f t="shared" ref="AB80:AB87" si="66">AA80*100/X80</f>
        <v>0</v>
      </c>
      <c r="AC80" s="31">
        <f t="shared" si="40"/>
        <v>3</v>
      </c>
      <c r="AD80" s="31">
        <f t="shared" si="41"/>
        <v>0</v>
      </c>
      <c r="AE80" s="28">
        <f t="shared" si="42"/>
        <v>0</v>
      </c>
      <c r="AF80" s="31">
        <f t="shared" si="43"/>
        <v>0</v>
      </c>
      <c r="AG80" s="30">
        <f t="shared" si="44"/>
        <v>0</v>
      </c>
      <c r="AH80" s="4"/>
      <c r="AI80" s="4"/>
    </row>
    <row r="81" spans="1:35" ht="111" thickBot="1" x14ac:dyDescent="0.35">
      <c r="A81" s="9">
        <v>66</v>
      </c>
      <c r="B81" s="9" t="s">
        <v>100</v>
      </c>
      <c r="C81" s="12" t="s">
        <v>72</v>
      </c>
      <c r="D81" s="24">
        <v>0</v>
      </c>
      <c r="E81" s="25">
        <v>0</v>
      </c>
      <c r="F81" s="26"/>
      <c r="G81" s="25">
        <v>0</v>
      </c>
      <c r="H81" s="30"/>
      <c r="I81" s="31">
        <v>0</v>
      </c>
      <c r="J81" s="29">
        <v>0</v>
      </c>
      <c r="K81" s="28"/>
      <c r="L81" s="29">
        <v>0</v>
      </c>
      <c r="M81" s="30"/>
      <c r="N81" s="31">
        <v>0</v>
      </c>
      <c r="O81" s="29">
        <v>0</v>
      </c>
      <c r="P81" s="28"/>
      <c r="Q81" s="29">
        <v>0</v>
      </c>
      <c r="R81" s="30"/>
      <c r="S81" s="31">
        <f t="shared" ref="S81:S87" si="67">SUM(D81,I81,N81)</f>
        <v>0</v>
      </c>
      <c r="T81" s="31">
        <f t="shared" ref="T81:T87" si="68">SUM(E81,J81,O81)</f>
        <v>0</v>
      </c>
      <c r="U81" s="28">
        <v>0</v>
      </c>
      <c r="V81" s="31">
        <f t="shared" ref="V81:V87" si="69">SUM(G81,L81,Q81)</f>
        <v>0</v>
      </c>
      <c r="W81" s="30">
        <v>0</v>
      </c>
      <c r="X81" s="31">
        <v>0</v>
      </c>
      <c r="Y81" s="29">
        <v>0</v>
      </c>
      <c r="Z81" s="28"/>
      <c r="AA81" s="29">
        <v>0</v>
      </c>
      <c r="AB81" s="30"/>
      <c r="AC81" s="31">
        <f t="shared" ref="AC81:AC87" si="70">S81+X81</f>
        <v>0</v>
      </c>
      <c r="AD81" s="31">
        <f t="shared" ref="AD81:AD87" si="71">T81+Y81</f>
        <v>0</v>
      </c>
      <c r="AE81" s="28">
        <v>0</v>
      </c>
      <c r="AF81" s="31">
        <f t="shared" ref="AF81:AF87" si="72">V81+AA81</f>
        <v>0</v>
      </c>
      <c r="AG81" s="30">
        <v>0</v>
      </c>
      <c r="AH81" s="4"/>
      <c r="AI81" s="4"/>
    </row>
    <row r="82" spans="1:35" ht="268.5" thickBot="1" x14ac:dyDescent="0.35">
      <c r="A82" s="9">
        <v>67</v>
      </c>
      <c r="B82" s="9" t="s">
        <v>100</v>
      </c>
      <c r="C82" s="12" t="s">
        <v>73</v>
      </c>
      <c r="D82" s="24">
        <v>0</v>
      </c>
      <c r="E82" s="25">
        <v>0</v>
      </c>
      <c r="F82" s="26"/>
      <c r="G82" s="25">
        <v>0</v>
      </c>
      <c r="H82" s="30"/>
      <c r="I82" s="31">
        <v>3</v>
      </c>
      <c r="J82" s="29">
        <v>0</v>
      </c>
      <c r="K82" s="28">
        <f t="shared" ref="K82:K87" si="73">J82*100/I82</f>
        <v>0</v>
      </c>
      <c r="L82" s="29">
        <v>0</v>
      </c>
      <c r="M82" s="30">
        <f t="shared" ref="M82:M87" si="74">L82*100/I82</f>
        <v>0</v>
      </c>
      <c r="N82" s="31">
        <v>3</v>
      </c>
      <c r="O82" s="29">
        <v>0</v>
      </c>
      <c r="P82" s="28">
        <f t="shared" ref="P82:P87" si="75">O82*100/N82</f>
        <v>0</v>
      </c>
      <c r="Q82" s="29">
        <v>0</v>
      </c>
      <c r="R82" s="30">
        <f t="shared" ref="R82:R87" si="76">Q82*100/N82</f>
        <v>0</v>
      </c>
      <c r="S82" s="31">
        <f t="shared" si="67"/>
        <v>6</v>
      </c>
      <c r="T82" s="31">
        <f t="shared" si="68"/>
        <v>0</v>
      </c>
      <c r="U82" s="28">
        <f t="shared" ref="U82:U87" si="77">T82*100/S82</f>
        <v>0</v>
      </c>
      <c r="V82" s="31">
        <f t="shared" si="69"/>
        <v>0</v>
      </c>
      <c r="W82" s="30">
        <f t="shared" ref="W82:W87" si="78">V82*100/S82</f>
        <v>0</v>
      </c>
      <c r="X82" s="31">
        <v>0</v>
      </c>
      <c r="Y82" s="29">
        <v>0</v>
      </c>
      <c r="Z82" s="28"/>
      <c r="AA82" s="29">
        <v>0</v>
      </c>
      <c r="AB82" s="30"/>
      <c r="AC82" s="31">
        <f t="shared" si="70"/>
        <v>6</v>
      </c>
      <c r="AD82" s="31">
        <f t="shared" si="71"/>
        <v>0</v>
      </c>
      <c r="AE82" s="28">
        <f t="shared" ref="AE82:AE87" si="79">AD82*100/AC82</f>
        <v>0</v>
      </c>
      <c r="AF82" s="31">
        <f t="shared" si="72"/>
        <v>0</v>
      </c>
      <c r="AG82" s="30">
        <f t="shared" ref="AG82:AG87" si="80">AF82*100/AC82</f>
        <v>0</v>
      </c>
      <c r="AH82" s="4"/>
      <c r="AI82" s="4"/>
    </row>
    <row r="83" spans="1:35" ht="32.25" thickBot="1" x14ac:dyDescent="0.35">
      <c r="A83" s="9">
        <v>68</v>
      </c>
      <c r="B83" s="9" t="s">
        <v>100</v>
      </c>
      <c r="C83" s="12" t="s">
        <v>74</v>
      </c>
      <c r="D83" s="24">
        <v>10</v>
      </c>
      <c r="E83" s="25">
        <v>0</v>
      </c>
      <c r="F83" s="26">
        <f t="shared" ref="F83:F87" si="81">E83*100/D83</f>
        <v>0</v>
      </c>
      <c r="G83" s="25">
        <v>0</v>
      </c>
      <c r="H83" s="30">
        <f t="shared" ref="H83:H87" si="82">G83*100/D83</f>
        <v>0</v>
      </c>
      <c r="I83" s="31">
        <v>8</v>
      </c>
      <c r="J83" s="29">
        <v>0</v>
      </c>
      <c r="K83" s="28">
        <f t="shared" si="73"/>
        <v>0</v>
      </c>
      <c r="L83" s="29">
        <v>0</v>
      </c>
      <c r="M83" s="30">
        <f t="shared" si="74"/>
        <v>0</v>
      </c>
      <c r="N83" s="31">
        <v>28</v>
      </c>
      <c r="O83" s="29">
        <v>0</v>
      </c>
      <c r="P83" s="28">
        <f t="shared" si="75"/>
        <v>0</v>
      </c>
      <c r="Q83" s="29">
        <v>0</v>
      </c>
      <c r="R83" s="30">
        <f t="shared" si="76"/>
        <v>0</v>
      </c>
      <c r="S83" s="31">
        <f t="shared" si="67"/>
        <v>46</v>
      </c>
      <c r="T83" s="31">
        <f t="shared" si="68"/>
        <v>0</v>
      </c>
      <c r="U83" s="28">
        <f t="shared" si="77"/>
        <v>0</v>
      </c>
      <c r="V83" s="31">
        <f t="shared" si="69"/>
        <v>0</v>
      </c>
      <c r="W83" s="30">
        <f t="shared" si="78"/>
        <v>0</v>
      </c>
      <c r="X83" s="31">
        <v>13</v>
      </c>
      <c r="Y83" s="25">
        <v>0</v>
      </c>
      <c r="Z83" s="28">
        <f t="shared" si="65"/>
        <v>0</v>
      </c>
      <c r="AA83" s="29">
        <v>0</v>
      </c>
      <c r="AB83" s="30">
        <f t="shared" si="66"/>
        <v>0</v>
      </c>
      <c r="AC83" s="31">
        <f t="shared" si="70"/>
        <v>59</v>
      </c>
      <c r="AD83" s="31">
        <f t="shared" si="71"/>
        <v>0</v>
      </c>
      <c r="AE83" s="28">
        <f t="shared" si="79"/>
        <v>0</v>
      </c>
      <c r="AF83" s="31">
        <f t="shared" si="72"/>
        <v>0</v>
      </c>
      <c r="AG83" s="30">
        <f t="shared" si="80"/>
        <v>0</v>
      </c>
    </row>
    <row r="84" spans="1:35" ht="65.099999999999994" customHeight="1" thickBot="1" x14ac:dyDescent="0.35">
      <c r="A84" s="10">
        <v>69</v>
      </c>
      <c r="B84" s="10" t="s">
        <v>100</v>
      </c>
      <c r="C84" s="11" t="s">
        <v>75</v>
      </c>
      <c r="D84" s="20">
        <v>42</v>
      </c>
      <c r="E84" s="21">
        <v>37</v>
      </c>
      <c r="F84" s="22">
        <f t="shared" si="81"/>
        <v>88.095238095238102</v>
      </c>
      <c r="G84" s="21">
        <v>0</v>
      </c>
      <c r="H84" s="23">
        <f t="shared" si="82"/>
        <v>0</v>
      </c>
      <c r="I84" s="20">
        <v>127</v>
      </c>
      <c r="J84" s="21">
        <v>127</v>
      </c>
      <c r="K84" s="22">
        <f t="shared" si="73"/>
        <v>100</v>
      </c>
      <c r="L84" s="21">
        <v>0</v>
      </c>
      <c r="M84" s="23">
        <f t="shared" si="74"/>
        <v>0</v>
      </c>
      <c r="N84" s="20">
        <v>42</v>
      </c>
      <c r="O84" s="21">
        <v>42</v>
      </c>
      <c r="P84" s="22">
        <f t="shared" si="75"/>
        <v>100</v>
      </c>
      <c r="Q84" s="21">
        <v>0</v>
      </c>
      <c r="R84" s="23">
        <f t="shared" si="76"/>
        <v>0</v>
      </c>
      <c r="S84" s="20">
        <f t="shared" si="67"/>
        <v>211</v>
      </c>
      <c r="T84" s="20">
        <f t="shared" si="68"/>
        <v>206</v>
      </c>
      <c r="U84" s="22">
        <f t="shared" si="77"/>
        <v>97.630331753554501</v>
      </c>
      <c r="V84" s="20">
        <f t="shared" si="69"/>
        <v>0</v>
      </c>
      <c r="W84" s="23">
        <f t="shared" si="78"/>
        <v>0</v>
      </c>
      <c r="X84" s="20">
        <v>2</v>
      </c>
      <c r="Y84" s="21">
        <v>0</v>
      </c>
      <c r="Z84" s="22">
        <f t="shared" si="65"/>
        <v>0</v>
      </c>
      <c r="AA84" s="21">
        <v>0</v>
      </c>
      <c r="AB84" s="23">
        <f t="shared" si="66"/>
        <v>0</v>
      </c>
      <c r="AC84" s="20">
        <f t="shared" si="70"/>
        <v>213</v>
      </c>
      <c r="AD84" s="20">
        <f t="shared" si="71"/>
        <v>206</v>
      </c>
      <c r="AE84" s="22">
        <f t="shared" si="79"/>
        <v>96.713615023474176</v>
      </c>
      <c r="AF84" s="20">
        <f t="shared" si="72"/>
        <v>0</v>
      </c>
      <c r="AG84" s="23">
        <f t="shared" si="80"/>
        <v>0</v>
      </c>
    </row>
    <row r="85" spans="1:35" ht="79.5" thickBot="1" x14ac:dyDescent="0.35">
      <c r="A85" s="10">
        <v>70</v>
      </c>
      <c r="B85" s="10" t="s">
        <v>102</v>
      </c>
      <c r="C85" s="11" t="s">
        <v>76</v>
      </c>
      <c r="D85" s="20">
        <v>22</v>
      </c>
      <c r="E85" s="21">
        <v>0</v>
      </c>
      <c r="F85" s="22">
        <f t="shared" si="81"/>
        <v>0</v>
      </c>
      <c r="G85" s="21">
        <v>1</v>
      </c>
      <c r="H85" s="23">
        <f t="shared" si="82"/>
        <v>4.5454545454545459</v>
      </c>
      <c r="I85" s="32"/>
      <c r="J85" s="33"/>
      <c r="K85" s="33"/>
      <c r="L85" s="33"/>
      <c r="M85" s="34"/>
      <c r="N85" s="32"/>
      <c r="O85" s="33"/>
      <c r="P85" s="33"/>
      <c r="Q85" s="33"/>
      <c r="R85" s="34"/>
      <c r="S85" s="20">
        <f t="shared" si="67"/>
        <v>22</v>
      </c>
      <c r="T85" s="20">
        <f t="shared" si="68"/>
        <v>0</v>
      </c>
      <c r="U85" s="22">
        <f t="shared" si="77"/>
        <v>0</v>
      </c>
      <c r="V85" s="20">
        <f t="shared" si="69"/>
        <v>1</v>
      </c>
      <c r="W85" s="23">
        <f t="shared" si="78"/>
        <v>4.5454545454545459</v>
      </c>
      <c r="X85" s="32">
        <v>68</v>
      </c>
      <c r="Y85" s="33">
        <v>0</v>
      </c>
      <c r="Z85" s="33">
        <v>12</v>
      </c>
      <c r="AA85" s="33">
        <v>12</v>
      </c>
      <c r="AB85" s="34">
        <v>12</v>
      </c>
      <c r="AC85" s="20">
        <f t="shared" si="70"/>
        <v>90</v>
      </c>
      <c r="AD85" s="20">
        <f t="shared" si="71"/>
        <v>0</v>
      </c>
      <c r="AE85" s="22">
        <f t="shared" si="79"/>
        <v>0</v>
      </c>
      <c r="AF85" s="20">
        <f t="shared" si="72"/>
        <v>13</v>
      </c>
      <c r="AG85" s="23">
        <f t="shared" si="80"/>
        <v>14.444444444444445</v>
      </c>
    </row>
    <row r="86" spans="1:35" ht="79.5" thickBot="1" x14ac:dyDescent="0.35">
      <c r="A86" s="10">
        <v>71</v>
      </c>
      <c r="B86" s="10" t="s">
        <v>102</v>
      </c>
      <c r="C86" s="11" t="s">
        <v>105</v>
      </c>
      <c r="D86" s="20">
        <v>36</v>
      </c>
      <c r="E86" s="21">
        <v>2</v>
      </c>
      <c r="F86" s="22">
        <f t="shared" si="81"/>
        <v>5.5555555555555554</v>
      </c>
      <c r="G86" s="21">
        <v>1</v>
      </c>
      <c r="H86" s="23">
        <f t="shared" si="82"/>
        <v>2.7777777777777777</v>
      </c>
      <c r="I86" s="20">
        <v>81</v>
      </c>
      <c r="J86" s="21">
        <v>4</v>
      </c>
      <c r="K86" s="22">
        <f t="shared" si="73"/>
        <v>4.9382716049382713</v>
      </c>
      <c r="L86" s="21">
        <v>6</v>
      </c>
      <c r="M86" s="23">
        <f t="shared" si="74"/>
        <v>7.4074074074074074</v>
      </c>
      <c r="N86" s="20">
        <v>50</v>
      </c>
      <c r="O86" s="21">
        <v>6</v>
      </c>
      <c r="P86" s="22">
        <f t="shared" si="75"/>
        <v>12</v>
      </c>
      <c r="Q86" s="21">
        <v>3</v>
      </c>
      <c r="R86" s="23">
        <f t="shared" si="76"/>
        <v>6</v>
      </c>
      <c r="S86" s="20">
        <f t="shared" si="67"/>
        <v>167</v>
      </c>
      <c r="T86" s="20">
        <f t="shared" si="68"/>
        <v>12</v>
      </c>
      <c r="U86" s="22">
        <f t="shared" si="77"/>
        <v>7.1856287425149699</v>
      </c>
      <c r="V86" s="20">
        <f t="shared" si="69"/>
        <v>10</v>
      </c>
      <c r="W86" s="23">
        <f t="shared" si="78"/>
        <v>5.9880239520958085</v>
      </c>
      <c r="X86" s="20">
        <v>248</v>
      </c>
      <c r="Y86" s="21">
        <v>0</v>
      </c>
      <c r="Z86" s="22">
        <f t="shared" si="65"/>
        <v>0</v>
      </c>
      <c r="AA86" s="21">
        <v>124</v>
      </c>
      <c r="AB86" s="23">
        <f t="shared" si="66"/>
        <v>50</v>
      </c>
      <c r="AC86" s="20">
        <f t="shared" si="70"/>
        <v>415</v>
      </c>
      <c r="AD86" s="20">
        <f t="shared" si="71"/>
        <v>12</v>
      </c>
      <c r="AE86" s="22">
        <f t="shared" si="79"/>
        <v>2.8915662650602409</v>
      </c>
      <c r="AF86" s="20">
        <f t="shared" si="72"/>
        <v>134</v>
      </c>
      <c r="AG86" s="23">
        <f t="shared" si="80"/>
        <v>32.289156626506021</v>
      </c>
    </row>
    <row r="87" spans="1:35" ht="48" thickBot="1" x14ac:dyDescent="0.35">
      <c r="A87" s="10">
        <v>72</v>
      </c>
      <c r="B87" s="10" t="s">
        <v>102</v>
      </c>
      <c r="C87" s="11" t="s">
        <v>77</v>
      </c>
      <c r="D87" s="20">
        <v>30</v>
      </c>
      <c r="E87" s="21">
        <v>2</v>
      </c>
      <c r="F87" s="22">
        <f t="shared" si="81"/>
        <v>6.666666666666667</v>
      </c>
      <c r="G87" s="21">
        <v>2</v>
      </c>
      <c r="H87" s="23">
        <f t="shared" si="82"/>
        <v>6.666666666666667</v>
      </c>
      <c r="I87" s="20">
        <v>38</v>
      </c>
      <c r="J87" s="21">
        <v>4</v>
      </c>
      <c r="K87" s="22">
        <f t="shared" si="73"/>
        <v>10.526315789473685</v>
      </c>
      <c r="L87" s="21">
        <v>2</v>
      </c>
      <c r="M87" s="23">
        <f t="shared" si="74"/>
        <v>5.2631578947368425</v>
      </c>
      <c r="N87" s="20">
        <v>44</v>
      </c>
      <c r="O87" s="21">
        <v>8</v>
      </c>
      <c r="P87" s="22">
        <f t="shared" si="75"/>
        <v>18.181818181818183</v>
      </c>
      <c r="Q87" s="21">
        <v>2</v>
      </c>
      <c r="R87" s="23">
        <f t="shared" si="76"/>
        <v>4.5454545454545459</v>
      </c>
      <c r="S87" s="20">
        <f t="shared" si="67"/>
        <v>112</v>
      </c>
      <c r="T87" s="20">
        <f t="shared" si="68"/>
        <v>14</v>
      </c>
      <c r="U87" s="22">
        <f t="shared" si="77"/>
        <v>12.5</v>
      </c>
      <c r="V87" s="20">
        <f t="shared" si="69"/>
        <v>6</v>
      </c>
      <c r="W87" s="23">
        <f t="shared" si="78"/>
        <v>5.3571428571428568</v>
      </c>
      <c r="X87" s="20">
        <v>139</v>
      </c>
      <c r="Y87" s="21">
        <v>4</v>
      </c>
      <c r="Z87" s="22">
        <f t="shared" si="65"/>
        <v>2.8776978417266186</v>
      </c>
      <c r="AA87" s="21">
        <v>36</v>
      </c>
      <c r="AB87" s="23">
        <f t="shared" si="66"/>
        <v>25.899280575539567</v>
      </c>
      <c r="AC87" s="20">
        <f t="shared" si="70"/>
        <v>251</v>
      </c>
      <c r="AD87" s="20">
        <f t="shared" si="71"/>
        <v>18</v>
      </c>
      <c r="AE87" s="22">
        <f t="shared" si="79"/>
        <v>7.1713147410358564</v>
      </c>
      <c r="AF87" s="20">
        <f t="shared" si="72"/>
        <v>42</v>
      </c>
      <c r="AG87" s="23">
        <f t="shared" si="80"/>
        <v>16.733067729083665</v>
      </c>
    </row>
    <row r="88" spans="1:35" ht="20.25" x14ac:dyDescent="0.3">
      <c r="A88" s="13">
        <v>85</v>
      </c>
      <c r="B88" s="14"/>
      <c r="C88" s="15" t="s">
        <v>90</v>
      </c>
      <c r="D88" s="43">
        <f>SUM(D15:D87)</f>
        <v>3291</v>
      </c>
      <c r="E88" s="43">
        <f>SUM(E15:E87)</f>
        <v>648</v>
      </c>
      <c r="F88" s="44">
        <v>18.5</v>
      </c>
      <c r="G88" s="43">
        <f>SUM(G15:G87)</f>
        <v>11</v>
      </c>
      <c r="H88" s="44">
        <f>G88*100/D88</f>
        <v>0.33424491036159221</v>
      </c>
      <c r="I88" s="43">
        <f>SUM(I15:I87)</f>
        <v>4138</v>
      </c>
      <c r="J88" s="43">
        <f>SUM(J15:J87)</f>
        <v>1139</v>
      </c>
      <c r="K88" s="44">
        <v>37.1</v>
      </c>
      <c r="L88" s="43">
        <f>SUM(L15:L87)</f>
        <v>24</v>
      </c>
      <c r="M88" s="44">
        <f>L88*100/I88</f>
        <v>0.57999033349444173</v>
      </c>
      <c r="N88" s="43">
        <f>SUM(N15:N87)</f>
        <v>3345</v>
      </c>
      <c r="O88" s="43">
        <f>SUM(O15:O87)</f>
        <v>878</v>
      </c>
      <c r="P88" s="44">
        <v>30.1</v>
      </c>
      <c r="Q88" s="43">
        <f>SUM(Q15:Q87)</f>
        <v>8</v>
      </c>
      <c r="R88" s="44">
        <f>Q88*100/N88</f>
        <v>0.23916292974588937</v>
      </c>
      <c r="S88" s="43">
        <f>SUM(S4:S87)</f>
        <v>42652</v>
      </c>
      <c r="T88" s="43">
        <f>SUM(T4:T87)</f>
        <v>2903</v>
      </c>
      <c r="U88" s="44">
        <v>30.1</v>
      </c>
      <c r="V88" s="43">
        <f>SUM(V4:V87)</f>
        <v>28152</v>
      </c>
      <c r="W88" s="44">
        <f>V88*100/S88</f>
        <v>66.003938853981055</v>
      </c>
      <c r="X88" s="43">
        <f>SUM(X4:X87)</f>
        <v>20962</v>
      </c>
      <c r="Y88" s="43">
        <f>SUM(Y4:Y87)</f>
        <v>771</v>
      </c>
      <c r="Z88" s="44">
        <v>22.22</v>
      </c>
      <c r="AA88" s="43">
        <f>SUM(AA4:AA87)</f>
        <v>17376</v>
      </c>
      <c r="AB88" s="45">
        <f>AA88*100/X88</f>
        <v>82.892853735330604</v>
      </c>
      <c r="AC88" s="43">
        <f>SUM(AC4:AC87)</f>
        <v>63614</v>
      </c>
      <c r="AD88" s="43">
        <f>SUM(AD4:AD87)</f>
        <v>3674</v>
      </c>
      <c r="AE88" s="44">
        <v>22.22</v>
      </c>
      <c r="AF88" s="43">
        <f>SUM(AF4:AF87)</f>
        <v>45528</v>
      </c>
      <c r="AG88" s="45">
        <f>AF88*100/AC88</f>
        <v>71.569151444650544</v>
      </c>
    </row>
    <row r="89" spans="1:35" ht="20.25" x14ac:dyDescent="0.3">
      <c r="A89" s="16">
        <v>86</v>
      </c>
      <c r="B89" s="5"/>
      <c r="C89" s="6" t="s">
        <v>117</v>
      </c>
      <c r="D89" s="46"/>
      <c r="E89" s="236"/>
      <c r="F89" s="236"/>
      <c r="G89" s="236"/>
      <c r="H89" s="46"/>
      <c r="I89" s="236"/>
      <c r="J89" s="236"/>
      <c r="K89" s="236"/>
      <c r="L89" s="46"/>
      <c r="M89" s="25"/>
      <c r="N89" s="25"/>
      <c r="O89" s="25"/>
      <c r="P89" s="25"/>
      <c r="Q89" s="25"/>
      <c r="R89" s="25"/>
      <c r="S89" s="25">
        <f>SUM(S10,S9,S8,S87,S86,S85,S84,S75,S24,S52,S37,S51,S27,S15)</f>
        <v>10234</v>
      </c>
      <c r="T89" s="25">
        <f>SUM(T10,T9,T8,T87,T86,T85,T84,T75,T24,T52,T37,T51,T27,T15)</f>
        <v>2903</v>
      </c>
      <c r="U89" s="52">
        <f>T89/S89*100</f>
        <v>28.366230213015438</v>
      </c>
      <c r="V89" s="25"/>
      <c r="W89" s="25"/>
      <c r="X89" s="25">
        <f>SUM(X10,X9,X8,X87,X86,X85,X84,X75,X24,X52,X37,X51,X27,X15)</f>
        <v>3291</v>
      </c>
      <c r="Y89" s="25">
        <f>SUM(Y10,Y9,Y8,Y87,Y86,Y85,Y84,Y75,Y24,Y52,Y37,Y51,Y27,Y15)</f>
        <v>771</v>
      </c>
      <c r="Z89" s="52">
        <f>Y89/X89*100</f>
        <v>23.427529626253417</v>
      </c>
      <c r="AA89" s="25"/>
      <c r="AB89" s="47"/>
      <c r="AC89" s="25">
        <f>SUM(AC10,AC9,AC8,AC87,AC86,AC85,AC84,AC75,AC24,AC52,AC37,AC51,AC27,AC15)</f>
        <v>13525</v>
      </c>
      <c r="AD89" s="25">
        <f>SUM(AD10,AD9,AD8,AD87,AD86,AD85,AD84,AD75,AD24,AD52,AD37,AD51,AD27,AD15)</f>
        <v>3674</v>
      </c>
      <c r="AE89" s="52">
        <f>AD89/AC89*100</f>
        <v>27.164510166358596</v>
      </c>
      <c r="AF89" s="25"/>
      <c r="AG89" s="47"/>
    </row>
    <row r="90" spans="1:35" ht="21" thickBot="1" x14ac:dyDescent="0.35">
      <c r="A90" s="17">
        <v>87</v>
      </c>
      <c r="B90" s="18"/>
      <c r="C90" s="19"/>
      <c r="D90" s="48"/>
      <c r="E90" s="237"/>
      <c r="F90" s="237"/>
      <c r="G90" s="237"/>
      <c r="H90" s="48"/>
      <c r="I90" s="237"/>
      <c r="J90" s="237"/>
      <c r="K90" s="237"/>
      <c r="L90" s="48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49"/>
      <c r="AC90" s="36"/>
      <c r="AD90" s="36"/>
      <c r="AE90" s="36"/>
      <c r="AF90" s="36"/>
      <c r="AG90" s="49"/>
    </row>
  </sheetData>
  <mergeCells count="12">
    <mergeCell ref="E89:G89"/>
    <mergeCell ref="I89:K89"/>
    <mergeCell ref="E90:G90"/>
    <mergeCell ref="I90:K90"/>
    <mergeCell ref="S2:W2"/>
    <mergeCell ref="X2:AB2"/>
    <mergeCell ref="AC2:AG2"/>
    <mergeCell ref="A2:A3"/>
    <mergeCell ref="C2:C3"/>
    <mergeCell ref="D2:H2"/>
    <mergeCell ref="I2:M2"/>
    <mergeCell ref="N2:R2"/>
  </mergeCells>
  <pageMargins left="0.70866141732283472" right="0.11811023622047245" top="0.19685039370078741" bottom="0.15748031496062992" header="0.31496062992125984" footer="0.31496062992125984"/>
  <pageSetup paperSize="9" scale="41" fitToHeight="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1"/>
  <sheetViews>
    <sheetView topLeftCell="A85" zoomScaleNormal="100" workbookViewId="0">
      <selection activeCell="A7" sqref="A7:XFD7"/>
    </sheetView>
  </sheetViews>
  <sheetFormatPr defaultRowHeight="15.75" x14ac:dyDescent="0.25"/>
  <cols>
    <col min="1" max="2" width="5.28515625" style="2" customWidth="1"/>
    <col min="3" max="3" width="38.7109375" style="3" customWidth="1"/>
    <col min="4" max="4" width="11.28515625" bestFit="1" customWidth="1"/>
    <col min="5" max="6" width="9" bestFit="1" customWidth="1"/>
    <col min="7" max="7" width="11.28515625" bestFit="1" customWidth="1"/>
    <col min="8" max="8" width="9.7109375" bestFit="1" customWidth="1"/>
    <col min="9" max="9" width="11.28515625" bestFit="1" customWidth="1"/>
    <col min="10" max="10" width="9.5703125" bestFit="1" customWidth="1"/>
    <col min="11" max="11" width="10.5703125" bestFit="1" customWidth="1"/>
    <col min="12" max="12" width="9.5703125" bestFit="1" customWidth="1"/>
    <col min="13" max="13" width="10.5703125" bestFit="1" customWidth="1"/>
    <col min="14" max="14" width="9.5703125" bestFit="1" customWidth="1"/>
    <col min="15" max="16" width="9" bestFit="1" customWidth="1"/>
    <col min="17" max="17" width="9.5703125" bestFit="1" customWidth="1"/>
    <col min="18" max="18" width="10.42578125" bestFit="1" customWidth="1"/>
    <col min="19" max="19" width="11.28515625" bestFit="1" customWidth="1"/>
    <col min="20" max="21" width="9" bestFit="1" customWidth="1"/>
    <col min="22" max="22" width="13" bestFit="1" customWidth="1"/>
    <col min="23" max="23" width="10.42578125" bestFit="1" customWidth="1"/>
  </cols>
  <sheetData>
    <row r="1" spans="1:25" ht="16.149999999999999" thickBot="1" x14ac:dyDescent="0.35"/>
    <row r="2" spans="1:25" ht="14.65" customHeight="1" thickBot="1" x14ac:dyDescent="0.3">
      <c r="A2" s="245" t="s">
        <v>0</v>
      </c>
      <c r="B2" s="9"/>
      <c r="C2" s="244" t="s">
        <v>1</v>
      </c>
      <c r="D2" s="233" t="s">
        <v>109</v>
      </c>
      <c r="E2" s="234"/>
      <c r="F2" s="234"/>
      <c r="G2" s="234"/>
      <c r="H2" s="235"/>
      <c r="I2" s="233" t="s">
        <v>108</v>
      </c>
      <c r="J2" s="234"/>
      <c r="K2" s="234"/>
      <c r="L2" s="234"/>
      <c r="M2" s="235"/>
      <c r="N2" s="233" t="s">
        <v>107</v>
      </c>
      <c r="O2" s="234"/>
      <c r="P2" s="234"/>
      <c r="Q2" s="234"/>
      <c r="R2" s="235"/>
      <c r="S2" s="233" t="s">
        <v>106</v>
      </c>
      <c r="T2" s="234"/>
      <c r="U2" s="234"/>
      <c r="V2" s="234"/>
      <c r="W2" s="235"/>
    </row>
    <row r="3" spans="1:25" ht="60.75" thickBot="1" x14ac:dyDescent="0.3">
      <c r="A3" s="245"/>
      <c r="B3" s="9"/>
      <c r="C3" s="244"/>
      <c r="D3" s="7" t="s">
        <v>2</v>
      </c>
      <c r="E3" s="1" t="s">
        <v>3</v>
      </c>
      <c r="F3" s="1" t="s">
        <v>4</v>
      </c>
      <c r="G3" s="1" t="s">
        <v>5</v>
      </c>
      <c r="H3" s="8" t="s">
        <v>6</v>
      </c>
      <c r="I3" s="7" t="s">
        <v>2</v>
      </c>
      <c r="J3" s="1" t="s">
        <v>3</v>
      </c>
      <c r="K3" s="1" t="s">
        <v>4</v>
      </c>
      <c r="L3" s="1" t="s">
        <v>5</v>
      </c>
      <c r="M3" s="8" t="s">
        <v>6</v>
      </c>
      <c r="N3" s="7" t="s">
        <v>2</v>
      </c>
      <c r="O3" s="1" t="s">
        <v>3</v>
      </c>
      <c r="P3" s="1" t="s">
        <v>4</v>
      </c>
      <c r="Q3" s="1" t="s">
        <v>5</v>
      </c>
      <c r="R3" s="8" t="s">
        <v>6</v>
      </c>
      <c r="S3" s="7" t="s">
        <v>2</v>
      </c>
      <c r="T3" s="1" t="s">
        <v>3</v>
      </c>
      <c r="U3" s="1" t="s">
        <v>4</v>
      </c>
      <c r="V3" s="1" t="s">
        <v>5</v>
      </c>
      <c r="W3" s="8" t="s">
        <v>6</v>
      </c>
    </row>
    <row r="4" spans="1:25" ht="35.1" customHeight="1" thickBot="1" x14ac:dyDescent="0.35">
      <c r="A4" s="10">
        <v>1</v>
      </c>
      <c r="B4" s="10" t="s">
        <v>91</v>
      </c>
      <c r="C4" s="11" t="s">
        <v>7</v>
      </c>
      <c r="D4" s="20">
        <v>159</v>
      </c>
      <c r="E4" s="21">
        <v>2</v>
      </c>
      <c r="F4" s="22">
        <f>E4*100/D4</f>
        <v>1.2578616352201257</v>
      </c>
      <c r="G4" s="21">
        <v>3</v>
      </c>
      <c r="H4" s="23">
        <f>G4*100/D4</f>
        <v>1.8867924528301887</v>
      </c>
      <c r="I4" s="20">
        <v>207</v>
      </c>
      <c r="J4" s="21">
        <v>3</v>
      </c>
      <c r="K4" s="22">
        <f>J4*100/I4</f>
        <v>1.4492753623188406</v>
      </c>
      <c r="L4" s="21">
        <v>0</v>
      </c>
      <c r="M4" s="23">
        <f>L4*100/I4</f>
        <v>0</v>
      </c>
      <c r="N4" s="20">
        <v>152</v>
      </c>
      <c r="O4" s="21">
        <v>1</v>
      </c>
      <c r="P4" s="22">
        <f>O4*100/N4</f>
        <v>0.65789473684210531</v>
      </c>
      <c r="Q4" s="21">
        <v>3</v>
      </c>
      <c r="R4" s="23">
        <f t="shared" ref="R4:R67" si="0">Q4*100/N4</f>
        <v>1.9736842105263157</v>
      </c>
      <c r="S4" s="20">
        <v>216</v>
      </c>
      <c r="T4" s="21">
        <v>4</v>
      </c>
      <c r="U4" s="22">
        <f t="shared" ref="U4:U67" si="1">T4*100/S4</f>
        <v>1.8518518518518519</v>
      </c>
      <c r="V4" s="21">
        <v>2</v>
      </c>
      <c r="W4" s="23">
        <f t="shared" ref="W4:W67" si="2">V4*100/S4</f>
        <v>0.92592592592592593</v>
      </c>
    </row>
    <row r="5" spans="1:25" ht="32.25" thickBot="1" x14ac:dyDescent="0.35">
      <c r="A5" s="10">
        <v>2</v>
      </c>
      <c r="B5" s="10" t="s">
        <v>92</v>
      </c>
      <c r="C5" s="11" t="s">
        <v>8</v>
      </c>
      <c r="D5" s="20">
        <v>424</v>
      </c>
      <c r="E5" s="21">
        <v>181</v>
      </c>
      <c r="F5" s="22">
        <f t="shared" ref="F5:F67" si="3">E5*100/D5</f>
        <v>42.688679245283019</v>
      </c>
      <c r="G5" s="21">
        <v>0</v>
      </c>
      <c r="H5" s="23">
        <f t="shared" ref="H5:H67" si="4">G5*100/D5</f>
        <v>0</v>
      </c>
      <c r="I5" s="20">
        <v>552</v>
      </c>
      <c r="J5" s="21">
        <v>240</v>
      </c>
      <c r="K5" s="22">
        <f t="shared" ref="K5:K67" si="5">J5*100/I5</f>
        <v>43.478260869565219</v>
      </c>
      <c r="L5" s="21">
        <v>0</v>
      </c>
      <c r="M5" s="23">
        <f t="shared" ref="M5:M67" si="6">L5*100/I5</f>
        <v>0</v>
      </c>
      <c r="N5" s="20">
        <v>660</v>
      </c>
      <c r="O5" s="21">
        <v>275</v>
      </c>
      <c r="P5" s="22">
        <f t="shared" ref="P5:P67" si="7">O5*100/N5</f>
        <v>41.666666666666664</v>
      </c>
      <c r="Q5" s="21">
        <v>0</v>
      </c>
      <c r="R5" s="23">
        <f t="shared" si="0"/>
        <v>0</v>
      </c>
      <c r="S5" s="20">
        <v>163</v>
      </c>
      <c r="T5" s="21">
        <v>163</v>
      </c>
      <c r="U5" s="22">
        <f t="shared" si="1"/>
        <v>100</v>
      </c>
      <c r="V5" s="21">
        <v>0</v>
      </c>
      <c r="W5" s="23">
        <f t="shared" si="2"/>
        <v>0</v>
      </c>
    </row>
    <row r="6" spans="1:25" ht="32.25" thickBot="1" x14ac:dyDescent="0.35">
      <c r="A6" s="9">
        <v>3</v>
      </c>
      <c r="B6" s="9" t="s">
        <v>93</v>
      </c>
      <c r="C6" s="12" t="s">
        <v>9</v>
      </c>
      <c r="D6" s="24">
        <v>3</v>
      </c>
      <c r="E6" s="25">
        <v>0</v>
      </c>
      <c r="F6" s="26">
        <f t="shared" si="3"/>
        <v>0</v>
      </c>
      <c r="G6" s="25">
        <v>0</v>
      </c>
      <c r="H6" s="27">
        <f t="shared" si="4"/>
        <v>0</v>
      </c>
      <c r="I6" s="24">
        <v>7</v>
      </c>
      <c r="J6" s="25">
        <v>0</v>
      </c>
      <c r="K6" s="28">
        <f t="shared" si="5"/>
        <v>0</v>
      </c>
      <c r="L6" s="29">
        <v>0</v>
      </c>
      <c r="M6" s="30">
        <f t="shared" si="6"/>
        <v>0</v>
      </c>
      <c r="N6" s="31">
        <v>8</v>
      </c>
      <c r="O6" s="29">
        <v>0</v>
      </c>
      <c r="P6" s="28">
        <f t="shared" si="7"/>
        <v>0</v>
      </c>
      <c r="Q6" s="29">
        <v>0</v>
      </c>
      <c r="R6" s="30">
        <f t="shared" si="0"/>
        <v>0</v>
      </c>
      <c r="S6" s="31">
        <v>12</v>
      </c>
      <c r="T6" s="29">
        <v>0</v>
      </c>
      <c r="U6" s="28">
        <f t="shared" si="1"/>
        <v>0</v>
      </c>
      <c r="V6" s="29">
        <v>0</v>
      </c>
      <c r="W6" s="30">
        <f t="shared" si="2"/>
        <v>0</v>
      </c>
      <c r="X6" s="4"/>
    </row>
    <row r="7" spans="1:25" ht="48" thickBot="1" x14ac:dyDescent="0.35">
      <c r="A7" s="9">
        <v>4</v>
      </c>
      <c r="B7" s="9" t="s">
        <v>94</v>
      </c>
      <c r="C7" s="12" t="s">
        <v>10</v>
      </c>
      <c r="D7" s="24">
        <v>23</v>
      </c>
      <c r="E7" s="25">
        <v>0</v>
      </c>
      <c r="F7" s="26">
        <f t="shared" si="3"/>
        <v>0</v>
      </c>
      <c r="G7" s="25">
        <v>0</v>
      </c>
      <c r="H7" s="27">
        <f t="shared" si="4"/>
        <v>0</v>
      </c>
      <c r="I7" s="24">
        <v>22</v>
      </c>
      <c r="J7" s="25">
        <v>0</v>
      </c>
      <c r="K7" s="28">
        <f t="shared" si="5"/>
        <v>0</v>
      </c>
      <c r="L7" s="29">
        <v>0</v>
      </c>
      <c r="M7" s="30">
        <f t="shared" si="6"/>
        <v>0</v>
      </c>
      <c r="N7" s="31">
        <v>22</v>
      </c>
      <c r="O7" s="29">
        <v>0</v>
      </c>
      <c r="P7" s="28">
        <f t="shared" si="7"/>
        <v>0</v>
      </c>
      <c r="Q7" s="29">
        <v>0</v>
      </c>
      <c r="R7" s="30">
        <f t="shared" si="0"/>
        <v>0</v>
      </c>
      <c r="S7" s="31">
        <v>23</v>
      </c>
      <c r="T7" s="29">
        <v>0</v>
      </c>
      <c r="U7" s="28">
        <f t="shared" si="1"/>
        <v>0</v>
      </c>
      <c r="V7" s="29">
        <v>0</v>
      </c>
      <c r="W7" s="30">
        <f t="shared" si="2"/>
        <v>0</v>
      </c>
      <c r="X7" s="4"/>
    </row>
    <row r="8" spans="1:25" ht="34.15" customHeight="1" thickBot="1" x14ac:dyDescent="0.35">
      <c r="A8" s="9">
        <v>5</v>
      </c>
      <c r="B8" s="9" t="s">
        <v>95</v>
      </c>
      <c r="C8" s="12" t="s">
        <v>11</v>
      </c>
      <c r="D8" s="24">
        <v>7</v>
      </c>
      <c r="E8" s="25">
        <v>0</v>
      </c>
      <c r="F8" s="26">
        <f t="shared" si="3"/>
        <v>0</v>
      </c>
      <c r="G8" s="25">
        <v>0</v>
      </c>
      <c r="H8" s="27">
        <f t="shared" si="4"/>
        <v>0</v>
      </c>
      <c r="I8" s="24">
        <v>7</v>
      </c>
      <c r="J8" s="25">
        <v>0</v>
      </c>
      <c r="K8" s="28">
        <f t="shared" si="5"/>
        <v>0</v>
      </c>
      <c r="L8" s="29">
        <v>0</v>
      </c>
      <c r="M8" s="30">
        <f t="shared" si="6"/>
        <v>0</v>
      </c>
      <c r="N8" s="31">
        <v>7</v>
      </c>
      <c r="O8" s="29">
        <v>0</v>
      </c>
      <c r="P8" s="28">
        <f t="shared" si="7"/>
        <v>0</v>
      </c>
      <c r="Q8" s="29">
        <v>0</v>
      </c>
      <c r="R8" s="30">
        <f t="shared" si="0"/>
        <v>0</v>
      </c>
      <c r="S8" s="31">
        <v>6</v>
      </c>
      <c r="T8" s="29">
        <v>0</v>
      </c>
      <c r="U8" s="28">
        <f t="shared" si="1"/>
        <v>0</v>
      </c>
      <c r="V8" s="29">
        <v>0</v>
      </c>
      <c r="W8" s="30">
        <f t="shared" si="2"/>
        <v>0</v>
      </c>
      <c r="X8" s="4"/>
    </row>
    <row r="9" spans="1:25" ht="44.65" customHeight="1" thickBot="1" x14ac:dyDescent="0.35">
      <c r="A9" s="9">
        <v>6</v>
      </c>
      <c r="B9" s="9" t="s">
        <v>91</v>
      </c>
      <c r="C9" s="12" t="s">
        <v>12</v>
      </c>
      <c r="D9" s="24">
        <v>19</v>
      </c>
      <c r="E9" s="25">
        <v>0</v>
      </c>
      <c r="F9" s="26">
        <f t="shared" si="3"/>
        <v>0</v>
      </c>
      <c r="G9" s="25">
        <v>0</v>
      </c>
      <c r="H9" s="27">
        <f t="shared" si="4"/>
        <v>0</v>
      </c>
      <c r="I9" s="24">
        <v>27</v>
      </c>
      <c r="J9" s="25">
        <v>0</v>
      </c>
      <c r="K9" s="28">
        <f t="shared" si="5"/>
        <v>0</v>
      </c>
      <c r="L9" s="29">
        <v>0</v>
      </c>
      <c r="M9" s="30">
        <f t="shared" si="6"/>
        <v>0</v>
      </c>
      <c r="N9" s="31">
        <v>30</v>
      </c>
      <c r="O9" s="29">
        <v>0</v>
      </c>
      <c r="P9" s="28">
        <f t="shared" si="7"/>
        <v>0</v>
      </c>
      <c r="Q9" s="29">
        <v>0</v>
      </c>
      <c r="R9" s="30">
        <f t="shared" si="0"/>
        <v>0</v>
      </c>
      <c r="S9" s="31">
        <v>41</v>
      </c>
      <c r="T9" s="29">
        <v>0</v>
      </c>
      <c r="U9" s="28">
        <f t="shared" si="1"/>
        <v>0</v>
      </c>
      <c r="V9" s="29">
        <v>0</v>
      </c>
      <c r="W9" s="30">
        <f t="shared" si="2"/>
        <v>0</v>
      </c>
      <c r="X9" s="4"/>
    </row>
    <row r="10" spans="1:25" ht="43.5" customHeight="1" thickBot="1" x14ac:dyDescent="0.35">
      <c r="A10" s="10">
        <v>7</v>
      </c>
      <c r="B10" s="10" t="s">
        <v>96</v>
      </c>
      <c r="C10" s="11" t="s">
        <v>13</v>
      </c>
      <c r="D10" s="20">
        <v>694</v>
      </c>
      <c r="E10" s="21">
        <v>287</v>
      </c>
      <c r="F10" s="22">
        <f t="shared" si="3"/>
        <v>41.354466858789628</v>
      </c>
      <c r="G10" s="21">
        <v>1</v>
      </c>
      <c r="H10" s="23">
        <f t="shared" si="4"/>
        <v>0.14409221902017291</v>
      </c>
      <c r="I10" s="20">
        <v>849</v>
      </c>
      <c r="J10" s="21">
        <v>398</v>
      </c>
      <c r="K10" s="22">
        <f t="shared" si="5"/>
        <v>46.878680800942284</v>
      </c>
      <c r="L10" s="21">
        <v>2</v>
      </c>
      <c r="M10" s="23">
        <f t="shared" si="6"/>
        <v>0.23557126030624265</v>
      </c>
      <c r="N10" s="20">
        <v>720</v>
      </c>
      <c r="O10" s="21">
        <v>368</v>
      </c>
      <c r="P10" s="22">
        <f t="shared" si="7"/>
        <v>51.111111111111114</v>
      </c>
      <c r="Q10" s="21">
        <v>0</v>
      </c>
      <c r="R10" s="23">
        <f t="shared" si="0"/>
        <v>0</v>
      </c>
      <c r="S10" s="20">
        <v>949</v>
      </c>
      <c r="T10" s="21">
        <v>334</v>
      </c>
      <c r="U10" s="22">
        <f t="shared" si="1"/>
        <v>35.194942044257111</v>
      </c>
      <c r="V10" s="21">
        <v>0</v>
      </c>
      <c r="W10" s="23">
        <f t="shared" si="2"/>
        <v>0</v>
      </c>
    </row>
    <row r="11" spans="1:25" ht="48" thickBot="1" x14ac:dyDescent="0.35">
      <c r="A11" s="9">
        <v>8</v>
      </c>
      <c r="B11" s="9" t="s">
        <v>95</v>
      </c>
      <c r="C11" s="12" t="s">
        <v>14</v>
      </c>
      <c r="D11" s="24">
        <v>4</v>
      </c>
      <c r="E11" s="25">
        <v>0</v>
      </c>
      <c r="F11" s="26">
        <f t="shared" si="3"/>
        <v>0</v>
      </c>
      <c r="G11" s="25">
        <v>0</v>
      </c>
      <c r="H11" s="27">
        <f t="shared" si="4"/>
        <v>0</v>
      </c>
      <c r="I11" s="31">
        <v>3</v>
      </c>
      <c r="J11" s="29">
        <v>0</v>
      </c>
      <c r="K11" s="28">
        <f t="shared" si="5"/>
        <v>0</v>
      </c>
      <c r="L11" s="29">
        <v>0</v>
      </c>
      <c r="M11" s="30">
        <f t="shared" si="6"/>
        <v>0</v>
      </c>
      <c r="N11" s="31">
        <v>3</v>
      </c>
      <c r="O11" s="29">
        <v>0</v>
      </c>
      <c r="P11" s="28">
        <f t="shared" si="7"/>
        <v>0</v>
      </c>
      <c r="Q11" s="29">
        <v>0</v>
      </c>
      <c r="R11" s="30">
        <f t="shared" si="0"/>
        <v>0</v>
      </c>
      <c r="S11" s="31">
        <v>7</v>
      </c>
      <c r="T11" s="29">
        <v>0</v>
      </c>
      <c r="U11" s="28">
        <f t="shared" si="1"/>
        <v>0</v>
      </c>
      <c r="V11" s="29">
        <v>0</v>
      </c>
      <c r="W11" s="30">
        <f t="shared" si="2"/>
        <v>0</v>
      </c>
      <c r="X11" s="4"/>
      <c r="Y11" s="4"/>
    </row>
    <row r="12" spans="1:25" ht="48" thickBot="1" x14ac:dyDescent="0.35">
      <c r="A12" s="9">
        <v>9</v>
      </c>
      <c r="B12" s="9" t="s">
        <v>94</v>
      </c>
      <c r="C12" s="12" t="s">
        <v>15</v>
      </c>
      <c r="D12" s="24">
        <v>8</v>
      </c>
      <c r="E12" s="25">
        <v>0</v>
      </c>
      <c r="F12" s="26">
        <f t="shared" si="3"/>
        <v>0</v>
      </c>
      <c r="G12" s="25">
        <v>0</v>
      </c>
      <c r="H12" s="27">
        <f t="shared" si="4"/>
        <v>0</v>
      </c>
      <c r="I12" s="31">
        <v>1</v>
      </c>
      <c r="J12" s="29">
        <v>0</v>
      </c>
      <c r="K12" s="28">
        <f t="shared" si="5"/>
        <v>0</v>
      </c>
      <c r="L12" s="29">
        <v>0</v>
      </c>
      <c r="M12" s="30">
        <f t="shared" si="6"/>
        <v>0</v>
      </c>
      <c r="N12" s="31">
        <v>13</v>
      </c>
      <c r="O12" s="29">
        <v>0</v>
      </c>
      <c r="P12" s="28">
        <f t="shared" si="7"/>
        <v>0</v>
      </c>
      <c r="Q12" s="29">
        <v>0</v>
      </c>
      <c r="R12" s="30">
        <f t="shared" si="0"/>
        <v>0</v>
      </c>
      <c r="S12" s="31">
        <v>31</v>
      </c>
      <c r="T12" s="29">
        <v>0</v>
      </c>
      <c r="U12" s="28">
        <f t="shared" si="1"/>
        <v>0</v>
      </c>
      <c r="V12" s="29">
        <v>0</v>
      </c>
      <c r="W12" s="30">
        <f t="shared" si="2"/>
        <v>0</v>
      </c>
      <c r="X12" s="4"/>
      <c r="Y12" s="4"/>
    </row>
    <row r="13" spans="1:25" ht="161.65" customHeight="1" thickBot="1" x14ac:dyDescent="0.35">
      <c r="A13" s="9">
        <v>10</v>
      </c>
      <c r="B13" s="9" t="s">
        <v>94</v>
      </c>
      <c r="C13" s="12" t="s">
        <v>16</v>
      </c>
      <c r="D13" s="24">
        <v>8</v>
      </c>
      <c r="E13" s="25">
        <v>0</v>
      </c>
      <c r="F13" s="26">
        <f t="shared" si="3"/>
        <v>0</v>
      </c>
      <c r="G13" s="25">
        <v>0</v>
      </c>
      <c r="H13" s="27">
        <f t="shared" si="4"/>
        <v>0</v>
      </c>
      <c r="I13" s="31">
        <v>0</v>
      </c>
      <c r="J13" s="29">
        <v>0</v>
      </c>
      <c r="K13" s="28"/>
      <c r="L13" s="29">
        <v>0</v>
      </c>
      <c r="M13" s="30"/>
      <c r="N13" s="31">
        <v>0</v>
      </c>
      <c r="O13" s="29">
        <v>0</v>
      </c>
      <c r="P13" s="28"/>
      <c r="Q13" s="29">
        <v>0</v>
      </c>
      <c r="R13" s="30"/>
      <c r="S13" s="31">
        <v>0</v>
      </c>
      <c r="T13" s="29">
        <v>0</v>
      </c>
      <c r="U13" s="28"/>
      <c r="V13" s="29">
        <v>0</v>
      </c>
      <c r="W13" s="30"/>
      <c r="X13" s="4"/>
      <c r="Y13" s="4"/>
    </row>
    <row r="14" spans="1:25" ht="74.650000000000006" customHeight="1" thickBot="1" x14ac:dyDescent="0.35">
      <c r="A14" s="9">
        <v>11</v>
      </c>
      <c r="B14" s="9" t="s">
        <v>91</v>
      </c>
      <c r="C14" s="12" t="s">
        <v>17</v>
      </c>
      <c r="D14" s="24">
        <v>31</v>
      </c>
      <c r="E14" s="25">
        <v>0</v>
      </c>
      <c r="F14" s="26">
        <f t="shared" si="3"/>
        <v>0</v>
      </c>
      <c r="G14" s="25">
        <v>0</v>
      </c>
      <c r="H14" s="27">
        <f t="shared" si="4"/>
        <v>0</v>
      </c>
      <c r="I14" s="31">
        <v>79</v>
      </c>
      <c r="J14" s="29">
        <v>0</v>
      </c>
      <c r="K14" s="28">
        <f t="shared" si="5"/>
        <v>0</v>
      </c>
      <c r="L14" s="29">
        <v>0</v>
      </c>
      <c r="M14" s="30">
        <f t="shared" si="6"/>
        <v>0</v>
      </c>
      <c r="N14" s="31">
        <v>65</v>
      </c>
      <c r="O14" s="29">
        <v>0</v>
      </c>
      <c r="P14" s="28">
        <f t="shared" si="7"/>
        <v>0</v>
      </c>
      <c r="Q14" s="29">
        <v>0</v>
      </c>
      <c r="R14" s="30">
        <f t="shared" si="0"/>
        <v>0</v>
      </c>
      <c r="S14" s="31">
        <v>51</v>
      </c>
      <c r="T14" s="29">
        <v>0</v>
      </c>
      <c r="U14" s="28">
        <f t="shared" si="1"/>
        <v>0</v>
      </c>
      <c r="V14" s="29">
        <v>0</v>
      </c>
      <c r="W14" s="30">
        <f t="shared" si="2"/>
        <v>0</v>
      </c>
      <c r="X14" s="4"/>
      <c r="Y14" s="4"/>
    </row>
    <row r="15" spans="1:25" ht="78" customHeight="1" thickBot="1" x14ac:dyDescent="0.35">
      <c r="A15" s="9">
        <v>12</v>
      </c>
      <c r="B15" s="9" t="s">
        <v>95</v>
      </c>
      <c r="C15" s="12" t="s">
        <v>18</v>
      </c>
      <c r="D15" s="24">
        <v>5</v>
      </c>
      <c r="E15" s="25">
        <v>0</v>
      </c>
      <c r="F15" s="26">
        <f t="shared" si="3"/>
        <v>0</v>
      </c>
      <c r="G15" s="25">
        <v>0</v>
      </c>
      <c r="H15" s="27">
        <f t="shared" si="4"/>
        <v>0</v>
      </c>
      <c r="I15" s="31">
        <v>10</v>
      </c>
      <c r="J15" s="29">
        <v>0</v>
      </c>
      <c r="K15" s="28">
        <f t="shared" si="5"/>
        <v>0</v>
      </c>
      <c r="L15" s="29">
        <v>0</v>
      </c>
      <c r="M15" s="30">
        <f t="shared" si="6"/>
        <v>0</v>
      </c>
      <c r="N15" s="31">
        <v>9</v>
      </c>
      <c r="O15" s="29">
        <v>0</v>
      </c>
      <c r="P15" s="28">
        <f t="shared" si="7"/>
        <v>0</v>
      </c>
      <c r="Q15" s="29">
        <v>0</v>
      </c>
      <c r="R15" s="30">
        <f t="shared" si="0"/>
        <v>0</v>
      </c>
      <c r="S15" s="31">
        <v>17</v>
      </c>
      <c r="T15" s="29">
        <v>0</v>
      </c>
      <c r="U15" s="28">
        <f t="shared" si="1"/>
        <v>0</v>
      </c>
      <c r="V15" s="29">
        <v>0</v>
      </c>
      <c r="W15" s="30">
        <f t="shared" si="2"/>
        <v>0</v>
      </c>
      <c r="X15" s="4"/>
      <c r="Y15" s="4"/>
    </row>
    <row r="16" spans="1:25" ht="63.75" thickBot="1" x14ac:dyDescent="0.35">
      <c r="A16" s="9">
        <v>13</v>
      </c>
      <c r="B16" s="9" t="s">
        <v>93</v>
      </c>
      <c r="C16" s="12" t="s">
        <v>19</v>
      </c>
      <c r="D16" s="24">
        <v>12</v>
      </c>
      <c r="E16" s="25">
        <v>0</v>
      </c>
      <c r="F16" s="26">
        <f t="shared" si="3"/>
        <v>0</v>
      </c>
      <c r="G16" s="25">
        <v>0</v>
      </c>
      <c r="H16" s="27">
        <f t="shared" si="4"/>
        <v>0</v>
      </c>
      <c r="I16" s="31">
        <v>12</v>
      </c>
      <c r="J16" s="29">
        <v>0</v>
      </c>
      <c r="K16" s="28">
        <f t="shared" si="5"/>
        <v>0</v>
      </c>
      <c r="L16" s="29">
        <v>0</v>
      </c>
      <c r="M16" s="30">
        <f t="shared" si="6"/>
        <v>0</v>
      </c>
      <c r="N16" s="31">
        <v>26</v>
      </c>
      <c r="O16" s="29">
        <v>0</v>
      </c>
      <c r="P16" s="28">
        <f t="shared" si="7"/>
        <v>0</v>
      </c>
      <c r="Q16" s="29">
        <v>0</v>
      </c>
      <c r="R16" s="30">
        <f t="shared" si="0"/>
        <v>0</v>
      </c>
      <c r="S16" s="31">
        <v>16</v>
      </c>
      <c r="T16" s="29">
        <v>0</v>
      </c>
      <c r="U16" s="28">
        <f t="shared" si="1"/>
        <v>0</v>
      </c>
      <c r="V16" s="29">
        <v>0</v>
      </c>
      <c r="W16" s="30">
        <f t="shared" si="2"/>
        <v>0</v>
      </c>
      <c r="X16" s="4"/>
      <c r="Y16" s="4"/>
    </row>
    <row r="17" spans="1:25" ht="48" thickBot="1" x14ac:dyDescent="0.35">
      <c r="A17" s="9">
        <v>14</v>
      </c>
      <c r="B17" s="9" t="s">
        <v>94</v>
      </c>
      <c r="C17" s="12" t="s">
        <v>20</v>
      </c>
      <c r="D17" s="24">
        <v>2</v>
      </c>
      <c r="E17" s="25">
        <v>0</v>
      </c>
      <c r="F17" s="26">
        <f t="shared" si="3"/>
        <v>0</v>
      </c>
      <c r="G17" s="25">
        <v>0</v>
      </c>
      <c r="H17" s="27">
        <f t="shared" si="4"/>
        <v>0</v>
      </c>
      <c r="I17" s="31">
        <v>0</v>
      </c>
      <c r="J17" s="29">
        <v>0</v>
      </c>
      <c r="K17" s="28"/>
      <c r="L17" s="29">
        <v>0</v>
      </c>
      <c r="M17" s="30"/>
      <c r="N17" s="31">
        <v>0</v>
      </c>
      <c r="O17" s="29">
        <v>0</v>
      </c>
      <c r="P17" s="28"/>
      <c r="Q17" s="29">
        <v>0</v>
      </c>
      <c r="R17" s="30"/>
      <c r="S17" s="31">
        <v>2</v>
      </c>
      <c r="T17" s="29">
        <v>0</v>
      </c>
      <c r="U17" s="28">
        <f t="shared" si="1"/>
        <v>0</v>
      </c>
      <c r="V17" s="29">
        <v>0</v>
      </c>
      <c r="W17" s="30">
        <f t="shared" si="2"/>
        <v>0</v>
      </c>
      <c r="X17" s="4"/>
      <c r="Y17" s="4"/>
    </row>
    <row r="18" spans="1:25" ht="48" thickBot="1" x14ac:dyDescent="0.35">
      <c r="A18" s="9">
        <v>15</v>
      </c>
      <c r="B18" s="9" t="s">
        <v>95</v>
      </c>
      <c r="C18" s="12" t="s">
        <v>21</v>
      </c>
      <c r="D18" s="24">
        <v>0</v>
      </c>
      <c r="E18" s="25">
        <v>0</v>
      </c>
      <c r="F18" s="26"/>
      <c r="G18" s="25">
        <v>0</v>
      </c>
      <c r="H18" s="27"/>
      <c r="I18" s="31">
        <v>0</v>
      </c>
      <c r="J18" s="29">
        <v>0</v>
      </c>
      <c r="K18" s="28"/>
      <c r="L18" s="29">
        <v>0</v>
      </c>
      <c r="M18" s="30"/>
      <c r="N18" s="31">
        <v>2</v>
      </c>
      <c r="O18" s="29">
        <v>0</v>
      </c>
      <c r="P18" s="28">
        <f t="shared" si="7"/>
        <v>0</v>
      </c>
      <c r="Q18" s="29">
        <v>0</v>
      </c>
      <c r="R18" s="30">
        <f t="shared" si="0"/>
        <v>0</v>
      </c>
      <c r="S18" s="31">
        <v>0</v>
      </c>
      <c r="T18" s="29">
        <v>0</v>
      </c>
      <c r="U18" s="28"/>
      <c r="V18" s="29">
        <v>0</v>
      </c>
      <c r="W18" s="30"/>
      <c r="X18" s="4"/>
      <c r="Y18" s="4"/>
    </row>
    <row r="19" spans="1:25" ht="61.5" customHeight="1" thickBot="1" x14ac:dyDescent="0.35">
      <c r="A19" s="9">
        <v>16</v>
      </c>
      <c r="B19" s="9" t="s">
        <v>97</v>
      </c>
      <c r="C19" s="12" t="s">
        <v>22</v>
      </c>
      <c r="D19" s="24">
        <v>1</v>
      </c>
      <c r="E19" s="25">
        <v>0</v>
      </c>
      <c r="F19" s="26">
        <f t="shared" si="3"/>
        <v>0</v>
      </c>
      <c r="G19" s="25">
        <v>0</v>
      </c>
      <c r="H19" s="27">
        <f t="shared" si="4"/>
        <v>0</v>
      </c>
      <c r="I19" s="31">
        <v>3</v>
      </c>
      <c r="J19" s="29">
        <v>0</v>
      </c>
      <c r="K19" s="28">
        <f t="shared" si="5"/>
        <v>0</v>
      </c>
      <c r="L19" s="29">
        <v>0</v>
      </c>
      <c r="M19" s="30">
        <f t="shared" si="6"/>
        <v>0</v>
      </c>
      <c r="N19" s="31">
        <v>3</v>
      </c>
      <c r="O19" s="29">
        <v>0</v>
      </c>
      <c r="P19" s="28">
        <f t="shared" si="7"/>
        <v>0</v>
      </c>
      <c r="Q19" s="29">
        <v>0</v>
      </c>
      <c r="R19" s="30">
        <f t="shared" si="0"/>
        <v>0</v>
      </c>
      <c r="S19" s="31">
        <v>0</v>
      </c>
      <c r="T19" s="29">
        <v>0</v>
      </c>
      <c r="U19" s="28"/>
      <c r="V19" s="29">
        <v>0</v>
      </c>
      <c r="W19" s="30"/>
      <c r="X19" s="4"/>
      <c r="Y19" s="4"/>
    </row>
    <row r="20" spans="1:25" ht="107.1" customHeight="1" thickBot="1" x14ac:dyDescent="0.35">
      <c r="A20" s="9">
        <v>17</v>
      </c>
      <c r="B20" s="9" t="s">
        <v>91</v>
      </c>
      <c r="C20" s="12" t="s">
        <v>23</v>
      </c>
      <c r="D20" s="24">
        <v>44</v>
      </c>
      <c r="E20" s="25">
        <v>0</v>
      </c>
      <c r="F20" s="26">
        <f t="shared" si="3"/>
        <v>0</v>
      </c>
      <c r="G20" s="25">
        <v>0</v>
      </c>
      <c r="H20" s="27">
        <f t="shared" si="4"/>
        <v>0</v>
      </c>
      <c r="I20" s="31">
        <v>32</v>
      </c>
      <c r="J20" s="29">
        <v>0</v>
      </c>
      <c r="K20" s="28">
        <f t="shared" si="5"/>
        <v>0</v>
      </c>
      <c r="L20" s="29">
        <v>0</v>
      </c>
      <c r="M20" s="30">
        <f t="shared" si="6"/>
        <v>0</v>
      </c>
      <c r="N20" s="31">
        <v>41</v>
      </c>
      <c r="O20" s="29">
        <v>0</v>
      </c>
      <c r="P20" s="28">
        <f t="shared" si="7"/>
        <v>0</v>
      </c>
      <c r="Q20" s="29">
        <v>0</v>
      </c>
      <c r="R20" s="30">
        <f t="shared" si="0"/>
        <v>0</v>
      </c>
      <c r="S20" s="31">
        <v>30</v>
      </c>
      <c r="T20" s="29">
        <v>0</v>
      </c>
      <c r="U20" s="28">
        <f t="shared" si="1"/>
        <v>0</v>
      </c>
      <c r="V20" s="29">
        <v>0</v>
      </c>
      <c r="W20" s="30">
        <f t="shared" si="2"/>
        <v>0</v>
      </c>
      <c r="X20" s="4"/>
      <c r="Y20" s="4"/>
    </row>
    <row r="21" spans="1:25" ht="48" thickBot="1" x14ac:dyDescent="0.35">
      <c r="A21" s="9">
        <v>18</v>
      </c>
      <c r="B21" s="9" t="s">
        <v>93</v>
      </c>
      <c r="C21" s="12" t="s">
        <v>24</v>
      </c>
      <c r="D21" s="24">
        <v>80</v>
      </c>
      <c r="E21" s="25">
        <v>0</v>
      </c>
      <c r="F21" s="26">
        <f t="shared" si="3"/>
        <v>0</v>
      </c>
      <c r="G21" s="25">
        <v>0</v>
      </c>
      <c r="H21" s="27">
        <f t="shared" si="4"/>
        <v>0</v>
      </c>
      <c r="I21" s="31">
        <v>146</v>
      </c>
      <c r="J21" s="29">
        <v>0</v>
      </c>
      <c r="K21" s="28">
        <f t="shared" si="5"/>
        <v>0</v>
      </c>
      <c r="L21" s="29">
        <v>0</v>
      </c>
      <c r="M21" s="30">
        <f t="shared" si="6"/>
        <v>0</v>
      </c>
      <c r="N21" s="31">
        <v>31</v>
      </c>
      <c r="O21" s="29">
        <v>0</v>
      </c>
      <c r="P21" s="28">
        <f t="shared" si="7"/>
        <v>0</v>
      </c>
      <c r="Q21" s="29">
        <v>0</v>
      </c>
      <c r="R21" s="30">
        <f t="shared" si="0"/>
        <v>0</v>
      </c>
      <c r="S21" s="31">
        <v>22</v>
      </c>
      <c r="T21" s="29">
        <v>0</v>
      </c>
      <c r="U21" s="28">
        <f t="shared" si="1"/>
        <v>0</v>
      </c>
      <c r="V21" s="29">
        <v>0</v>
      </c>
      <c r="W21" s="30">
        <f t="shared" si="2"/>
        <v>0</v>
      </c>
      <c r="X21" s="4"/>
      <c r="Y21" s="4"/>
    </row>
    <row r="22" spans="1:25" ht="63.75" thickBot="1" x14ac:dyDescent="0.35">
      <c r="A22" s="9">
        <v>19</v>
      </c>
      <c r="B22" s="9" t="s">
        <v>98</v>
      </c>
      <c r="C22" s="12" t="s">
        <v>25</v>
      </c>
      <c r="D22" s="24">
        <v>28</v>
      </c>
      <c r="E22" s="25">
        <v>0</v>
      </c>
      <c r="F22" s="26">
        <f t="shared" si="3"/>
        <v>0</v>
      </c>
      <c r="G22" s="25">
        <v>0</v>
      </c>
      <c r="H22" s="27">
        <f t="shared" si="4"/>
        <v>0</v>
      </c>
      <c r="I22" s="31">
        <v>101</v>
      </c>
      <c r="J22" s="29">
        <v>0</v>
      </c>
      <c r="K22" s="28">
        <f t="shared" si="5"/>
        <v>0</v>
      </c>
      <c r="L22" s="29">
        <v>0</v>
      </c>
      <c r="M22" s="30">
        <f t="shared" si="6"/>
        <v>0</v>
      </c>
      <c r="N22" s="31">
        <v>5</v>
      </c>
      <c r="O22" s="29">
        <v>0</v>
      </c>
      <c r="P22" s="28">
        <f t="shared" si="7"/>
        <v>0</v>
      </c>
      <c r="Q22" s="29">
        <v>0</v>
      </c>
      <c r="R22" s="30">
        <f t="shared" si="0"/>
        <v>0</v>
      </c>
      <c r="S22" s="31">
        <v>7</v>
      </c>
      <c r="T22" s="29">
        <v>0</v>
      </c>
      <c r="U22" s="28">
        <f t="shared" si="1"/>
        <v>0</v>
      </c>
      <c r="V22" s="29">
        <v>0</v>
      </c>
      <c r="W22" s="30">
        <f t="shared" si="2"/>
        <v>0</v>
      </c>
      <c r="X22" s="4"/>
      <c r="Y22" s="4"/>
    </row>
    <row r="23" spans="1:25" ht="74.099999999999994" customHeight="1" thickBot="1" x14ac:dyDescent="0.35">
      <c r="A23" s="9">
        <v>20</v>
      </c>
      <c r="B23" s="9" t="s">
        <v>93</v>
      </c>
      <c r="C23" s="12" t="s">
        <v>26</v>
      </c>
      <c r="D23" s="24">
        <v>3</v>
      </c>
      <c r="E23" s="25">
        <v>0</v>
      </c>
      <c r="F23" s="26">
        <f t="shared" si="3"/>
        <v>0</v>
      </c>
      <c r="G23" s="25">
        <v>0</v>
      </c>
      <c r="H23" s="27">
        <f t="shared" si="4"/>
        <v>0</v>
      </c>
      <c r="I23" s="31">
        <v>9</v>
      </c>
      <c r="J23" s="29">
        <v>0</v>
      </c>
      <c r="K23" s="28">
        <f t="shared" si="5"/>
        <v>0</v>
      </c>
      <c r="L23" s="29">
        <v>0</v>
      </c>
      <c r="M23" s="30">
        <f t="shared" si="6"/>
        <v>0</v>
      </c>
      <c r="N23" s="31">
        <v>4</v>
      </c>
      <c r="O23" s="29">
        <v>0</v>
      </c>
      <c r="P23" s="28">
        <f t="shared" si="7"/>
        <v>0</v>
      </c>
      <c r="Q23" s="29">
        <v>0</v>
      </c>
      <c r="R23" s="30">
        <f t="shared" si="0"/>
        <v>0</v>
      </c>
      <c r="S23" s="31">
        <v>1</v>
      </c>
      <c r="T23" s="29">
        <v>0</v>
      </c>
      <c r="U23" s="28">
        <f t="shared" si="1"/>
        <v>0</v>
      </c>
      <c r="V23" s="29">
        <v>0</v>
      </c>
      <c r="W23" s="30">
        <f t="shared" si="2"/>
        <v>0</v>
      </c>
      <c r="X23" s="4"/>
      <c r="Y23" s="4"/>
    </row>
    <row r="24" spans="1:25" ht="62.1" customHeight="1" thickBot="1" x14ac:dyDescent="0.35">
      <c r="A24" s="9">
        <v>21</v>
      </c>
      <c r="B24" s="9" t="s">
        <v>99</v>
      </c>
      <c r="C24" s="12" t="s">
        <v>27</v>
      </c>
      <c r="D24" s="24">
        <v>0</v>
      </c>
      <c r="E24" s="25">
        <v>0</v>
      </c>
      <c r="F24" s="26"/>
      <c r="G24" s="25">
        <v>0</v>
      </c>
      <c r="H24" s="27"/>
      <c r="I24" s="31">
        <v>0</v>
      </c>
      <c r="J24" s="29">
        <v>0</v>
      </c>
      <c r="K24" s="28"/>
      <c r="L24" s="29">
        <v>0</v>
      </c>
      <c r="M24" s="30"/>
      <c r="N24" s="31">
        <v>0</v>
      </c>
      <c r="O24" s="29">
        <v>0</v>
      </c>
      <c r="P24" s="28"/>
      <c r="Q24" s="29">
        <v>0</v>
      </c>
      <c r="R24" s="30"/>
      <c r="S24" s="31">
        <v>0</v>
      </c>
      <c r="T24" s="29">
        <v>0</v>
      </c>
      <c r="U24" s="28"/>
      <c r="V24" s="29">
        <v>0</v>
      </c>
      <c r="W24" s="30"/>
      <c r="X24" s="4"/>
      <c r="Y24" s="4"/>
    </row>
    <row r="25" spans="1:25" ht="95.25" thickBot="1" x14ac:dyDescent="0.35">
      <c r="A25" s="9">
        <v>22</v>
      </c>
      <c r="B25" s="9" t="s">
        <v>91</v>
      </c>
      <c r="C25" s="12" t="s">
        <v>28</v>
      </c>
      <c r="D25" s="24">
        <v>23</v>
      </c>
      <c r="E25" s="25">
        <v>0</v>
      </c>
      <c r="F25" s="26">
        <f t="shared" si="3"/>
        <v>0</v>
      </c>
      <c r="G25" s="25">
        <v>0</v>
      </c>
      <c r="H25" s="27">
        <f t="shared" si="4"/>
        <v>0</v>
      </c>
      <c r="I25" s="31">
        <v>20</v>
      </c>
      <c r="J25" s="29">
        <v>0</v>
      </c>
      <c r="K25" s="28">
        <f t="shared" si="5"/>
        <v>0</v>
      </c>
      <c r="L25" s="29">
        <v>0</v>
      </c>
      <c r="M25" s="30">
        <f t="shared" si="6"/>
        <v>0</v>
      </c>
      <c r="N25" s="31">
        <v>25</v>
      </c>
      <c r="O25" s="29">
        <v>0</v>
      </c>
      <c r="P25" s="28">
        <f t="shared" si="7"/>
        <v>0</v>
      </c>
      <c r="Q25" s="29">
        <v>0</v>
      </c>
      <c r="R25" s="30">
        <f t="shared" si="0"/>
        <v>0</v>
      </c>
      <c r="S25" s="31">
        <v>7</v>
      </c>
      <c r="T25" s="29">
        <v>0</v>
      </c>
      <c r="U25" s="28">
        <f t="shared" si="1"/>
        <v>0</v>
      </c>
      <c r="V25" s="29">
        <v>0</v>
      </c>
      <c r="W25" s="30">
        <f t="shared" si="2"/>
        <v>0</v>
      </c>
      <c r="X25" s="4"/>
      <c r="Y25" s="4"/>
    </row>
    <row r="26" spans="1:25" ht="63.75" thickBot="1" x14ac:dyDescent="0.35">
      <c r="A26" s="9">
        <v>23</v>
      </c>
      <c r="B26" s="9" t="s">
        <v>95</v>
      </c>
      <c r="C26" s="12" t="s">
        <v>29</v>
      </c>
      <c r="D26" s="24">
        <v>1</v>
      </c>
      <c r="E26" s="25">
        <v>0</v>
      </c>
      <c r="F26" s="26">
        <f t="shared" si="3"/>
        <v>0</v>
      </c>
      <c r="G26" s="25">
        <v>0</v>
      </c>
      <c r="H26" s="27">
        <f t="shared" si="4"/>
        <v>0</v>
      </c>
      <c r="I26" s="31">
        <v>5</v>
      </c>
      <c r="J26" s="29">
        <v>0</v>
      </c>
      <c r="K26" s="28">
        <f t="shared" si="5"/>
        <v>0</v>
      </c>
      <c r="L26" s="29">
        <v>0</v>
      </c>
      <c r="M26" s="30">
        <f t="shared" si="6"/>
        <v>0</v>
      </c>
      <c r="N26" s="31">
        <v>2</v>
      </c>
      <c r="O26" s="29">
        <v>0</v>
      </c>
      <c r="P26" s="28">
        <f t="shared" si="7"/>
        <v>0</v>
      </c>
      <c r="Q26" s="29">
        <v>0</v>
      </c>
      <c r="R26" s="30">
        <f t="shared" si="0"/>
        <v>0</v>
      </c>
      <c r="S26" s="31">
        <v>8</v>
      </c>
      <c r="T26" s="29">
        <v>0</v>
      </c>
      <c r="U26" s="28">
        <f t="shared" si="1"/>
        <v>0</v>
      </c>
      <c r="V26" s="29">
        <v>0</v>
      </c>
      <c r="W26" s="30">
        <f t="shared" si="2"/>
        <v>0</v>
      </c>
      <c r="X26" s="4"/>
      <c r="Y26" s="4"/>
    </row>
    <row r="27" spans="1:25" ht="32.25" thickBot="1" x14ac:dyDescent="0.35">
      <c r="A27" s="9">
        <v>24</v>
      </c>
      <c r="B27" s="9" t="s">
        <v>93</v>
      </c>
      <c r="C27" s="12" t="s">
        <v>30</v>
      </c>
      <c r="D27" s="24">
        <v>86</v>
      </c>
      <c r="E27" s="25">
        <v>0</v>
      </c>
      <c r="F27" s="26">
        <f t="shared" si="3"/>
        <v>0</v>
      </c>
      <c r="G27" s="25">
        <v>0</v>
      </c>
      <c r="H27" s="27">
        <f t="shared" si="4"/>
        <v>0</v>
      </c>
      <c r="I27" s="31">
        <v>109</v>
      </c>
      <c r="J27" s="29">
        <v>0</v>
      </c>
      <c r="K27" s="28">
        <f t="shared" si="5"/>
        <v>0</v>
      </c>
      <c r="L27" s="29">
        <v>0</v>
      </c>
      <c r="M27" s="30">
        <f t="shared" si="6"/>
        <v>0</v>
      </c>
      <c r="N27" s="31">
        <v>134</v>
      </c>
      <c r="O27" s="29">
        <v>0</v>
      </c>
      <c r="P27" s="28">
        <f t="shared" si="7"/>
        <v>0</v>
      </c>
      <c r="Q27" s="29">
        <v>0</v>
      </c>
      <c r="R27" s="30">
        <f t="shared" si="0"/>
        <v>0</v>
      </c>
      <c r="S27" s="31">
        <v>14</v>
      </c>
      <c r="T27" s="29">
        <v>0</v>
      </c>
      <c r="U27" s="28">
        <f t="shared" si="1"/>
        <v>0</v>
      </c>
      <c r="V27" s="29">
        <v>0</v>
      </c>
      <c r="W27" s="30">
        <f t="shared" si="2"/>
        <v>0</v>
      </c>
      <c r="X27" s="4"/>
      <c r="Y27" s="4"/>
    </row>
    <row r="28" spans="1:25" ht="79.5" thickBot="1" x14ac:dyDescent="0.35">
      <c r="A28" s="9">
        <v>25</v>
      </c>
      <c r="B28" s="9" t="s">
        <v>91</v>
      </c>
      <c r="C28" s="12" t="s">
        <v>31</v>
      </c>
      <c r="D28" s="24">
        <v>14</v>
      </c>
      <c r="E28" s="25">
        <v>0</v>
      </c>
      <c r="F28" s="26">
        <f t="shared" si="3"/>
        <v>0</v>
      </c>
      <c r="G28" s="25">
        <v>0</v>
      </c>
      <c r="H28" s="27">
        <f t="shared" si="4"/>
        <v>0</v>
      </c>
      <c r="I28" s="31">
        <v>27</v>
      </c>
      <c r="J28" s="29">
        <v>0</v>
      </c>
      <c r="K28" s="28">
        <f t="shared" si="5"/>
        <v>0</v>
      </c>
      <c r="L28" s="29">
        <v>0</v>
      </c>
      <c r="M28" s="30">
        <f t="shared" si="6"/>
        <v>0</v>
      </c>
      <c r="N28" s="31">
        <v>8</v>
      </c>
      <c r="O28" s="29">
        <v>0</v>
      </c>
      <c r="P28" s="28">
        <f t="shared" si="7"/>
        <v>0</v>
      </c>
      <c r="Q28" s="29">
        <v>0</v>
      </c>
      <c r="R28" s="30">
        <f t="shared" si="0"/>
        <v>0</v>
      </c>
      <c r="S28" s="31">
        <v>46</v>
      </c>
      <c r="T28" s="29">
        <v>0</v>
      </c>
      <c r="U28" s="28">
        <f t="shared" si="1"/>
        <v>0</v>
      </c>
      <c r="V28" s="29">
        <v>0</v>
      </c>
      <c r="W28" s="30">
        <f t="shared" si="2"/>
        <v>0</v>
      </c>
      <c r="X28" s="4"/>
      <c r="Y28" s="4"/>
    </row>
    <row r="29" spans="1:25" ht="79.5" thickBot="1" x14ac:dyDescent="0.35">
      <c r="A29" s="9">
        <v>26</v>
      </c>
      <c r="B29" s="9" t="s">
        <v>98</v>
      </c>
      <c r="C29" s="12" t="s">
        <v>32</v>
      </c>
      <c r="D29" s="24">
        <v>0</v>
      </c>
      <c r="E29" s="25">
        <v>0</v>
      </c>
      <c r="F29" s="26"/>
      <c r="G29" s="25">
        <v>0</v>
      </c>
      <c r="H29" s="27"/>
      <c r="I29" s="31">
        <v>0</v>
      </c>
      <c r="J29" s="29">
        <v>0</v>
      </c>
      <c r="K29" s="28"/>
      <c r="L29" s="29">
        <v>0</v>
      </c>
      <c r="M29" s="30"/>
      <c r="N29" s="31">
        <v>0</v>
      </c>
      <c r="O29" s="29">
        <v>0</v>
      </c>
      <c r="P29" s="28"/>
      <c r="Q29" s="29">
        <v>0</v>
      </c>
      <c r="R29" s="30"/>
      <c r="S29" s="31">
        <v>0</v>
      </c>
      <c r="T29" s="29">
        <v>0</v>
      </c>
      <c r="U29" s="28"/>
      <c r="V29" s="29">
        <v>0</v>
      </c>
      <c r="W29" s="30"/>
      <c r="X29" s="4"/>
      <c r="Y29" s="4"/>
    </row>
    <row r="30" spans="1:25" ht="63.75" thickBot="1" x14ac:dyDescent="0.35">
      <c r="A30" s="9">
        <v>27</v>
      </c>
      <c r="B30" s="9" t="s">
        <v>99</v>
      </c>
      <c r="C30" s="12" t="s">
        <v>33</v>
      </c>
      <c r="D30" s="24">
        <v>0</v>
      </c>
      <c r="E30" s="25">
        <v>0</v>
      </c>
      <c r="F30" s="26"/>
      <c r="G30" s="25">
        <v>0</v>
      </c>
      <c r="H30" s="27"/>
      <c r="I30" s="31">
        <v>0</v>
      </c>
      <c r="J30" s="29">
        <v>0</v>
      </c>
      <c r="K30" s="28"/>
      <c r="L30" s="29">
        <v>0</v>
      </c>
      <c r="M30" s="30"/>
      <c r="N30" s="31">
        <v>2</v>
      </c>
      <c r="O30" s="29">
        <v>0</v>
      </c>
      <c r="P30" s="28">
        <f t="shared" si="7"/>
        <v>0</v>
      </c>
      <c r="Q30" s="29">
        <v>0</v>
      </c>
      <c r="R30" s="30">
        <f t="shared" si="0"/>
        <v>0</v>
      </c>
      <c r="S30" s="31">
        <v>4</v>
      </c>
      <c r="T30" s="29">
        <v>0</v>
      </c>
      <c r="U30" s="28">
        <f t="shared" si="1"/>
        <v>0</v>
      </c>
      <c r="V30" s="29">
        <v>0</v>
      </c>
      <c r="W30" s="30">
        <f t="shared" si="2"/>
        <v>0</v>
      </c>
      <c r="X30" s="4"/>
      <c r="Y30" s="4"/>
    </row>
    <row r="31" spans="1:25" ht="117" customHeight="1" thickBot="1" x14ac:dyDescent="0.35">
      <c r="A31" s="9">
        <v>28</v>
      </c>
      <c r="B31" s="9" t="s">
        <v>93</v>
      </c>
      <c r="C31" s="12" t="s">
        <v>34</v>
      </c>
      <c r="D31" s="24">
        <v>3</v>
      </c>
      <c r="E31" s="25">
        <v>0</v>
      </c>
      <c r="F31" s="26">
        <f t="shared" si="3"/>
        <v>0</v>
      </c>
      <c r="G31" s="25">
        <v>0</v>
      </c>
      <c r="H31" s="27">
        <f t="shared" si="4"/>
        <v>0</v>
      </c>
      <c r="I31" s="31">
        <v>4</v>
      </c>
      <c r="J31" s="29">
        <v>0</v>
      </c>
      <c r="K31" s="28">
        <f t="shared" si="5"/>
        <v>0</v>
      </c>
      <c r="L31" s="29">
        <v>0</v>
      </c>
      <c r="M31" s="30">
        <f t="shared" si="6"/>
        <v>0</v>
      </c>
      <c r="N31" s="31">
        <v>6</v>
      </c>
      <c r="O31" s="29">
        <v>0</v>
      </c>
      <c r="P31" s="28">
        <f t="shared" si="7"/>
        <v>0</v>
      </c>
      <c r="Q31" s="29">
        <v>0</v>
      </c>
      <c r="R31" s="30">
        <f t="shared" si="0"/>
        <v>0</v>
      </c>
      <c r="S31" s="31">
        <v>8</v>
      </c>
      <c r="T31" s="29">
        <v>0</v>
      </c>
      <c r="U31" s="28">
        <f t="shared" si="1"/>
        <v>0</v>
      </c>
      <c r="V31" s="29">
        <v>0</v>
      </c>
      <c r="W31" s="30">
        <f t="shared" si="2"/>
        <v>0</v>
      </c>
      <c r="X31" s="4"/>
      <c r="Y31" s="4"/>
    </row>
    <row r="32" spans="1:25" ht="48" thickBot="1" x14ac:dyDescent="0.35">
      <c r="A32" s="9">
        <v>29</v>
      </c>
      <c r="B32" s="9" t="s">
        <v>97</v>
      </c>
      <c r="C32" s="12" t="s">
        <v>35</v>
      </c>
      <c r="D32" s="24">
        <v>58</v>
      </c>
      <c r="E32" s="25">
        <v>0</v>
      </c>
      <c r="F32" s="26">
        <f t="shared" si="3"/>
        <v>0</v>
      </c>
      <c r="G32" s="25">
        <v>0</v>
      </c>
      <c r="H32" s="27">
        <f t="shared" si="4"/>
        <v>0</v>
      </c>
      <c r="I32" s="31">
        <v>98</v>
      </c>
      <c r="J32" s="29">
        <v>0</v>
      </c>
      <c r="K32" s="28">
        <f t="shared" si="5"/>
        <v>0</v>
      </c>
      <c r="L32" s="29">
        <v>0</v>
      </c>
      <c r="M32" s="30">
        <f t="shared" si="6"/>
        <v>0</v>
      </c>
      <c r="N32" s="31">
        <v>115</v>
      </c>
      <c r="O32" s="29">
        <v>0</v>
      </c>
      <c r="P32" s="28">
        <f t="shared" si="7"/>
        <v>0</v>
      </c>
      <c r="Q32" s="29">
        <v>0</v>
      </c>
      <c r="R32" s="30">
        <f t="shared" si="0"/>
        <v>0</v>
      </c>
      <c r="S32" s="31">
        <v>98</v>
      </c>
      <c r="T32" s="29">
        <v>0</v>
      </c>
      <c r="U32" s="28">
        <f t="shared" si="1"/>
        <v>0</v>
      </c>
      <c r="V32" s="29">
        <v>98</v>
      </c>
      <c r="W32" s="30">
        <f t="shared" si="2"/>
        <v>100</v>
      </c>
      <c r="X32" s="4"/>
      <c r="Y32" s="4"/>
    </row>
    <row r="33" spans="1:25" ht="120" customHeight="1" thickBot="1" x14ac:dyDescent="0.35">
      <c r="A33" s="9">
        <v>30</v>
      </c>
      <c r="B33" s="9" t="s">
        <v>100</v>
      </c>
      <c r="C33" s="12" t="s">
        <v>36</v>
      </c>
      <c r="D33" s="24">
        <v>0</v>
      </c>
      <c r="E33" s="25">
        <v>0</v>
      </c>
      <c r="F33" s="26"/>
      <c r="G33" s="25">
        <v>0</v>
      </c>
      <c r="H33" s="27"/>
      <c r="I33" s="31">
        <v>0</v>
      </c>
      <c r="J33" s="29">
        <v>0</v>
      </c>
      <c r="K33" s="28"/>
      <c r="L33" s="29">
        <v>0</v>
      </c>
      <c r="M33" s="30"/>
      <c r="N33" s="31">
        <v>0</v>
      </c>
      <c r="O33" s="29">
        <v>0</v>
      </c>
      <c r="P33" s="28"/>
      <c r="Q33" s="29">
        <v>0</v>
      </c>
      <c r="R33" s="30"/>
      <c r="S33" s="31">
        <v>0</v>
      </c>
      <c r="T33" s="29">
        <v>0</v>
      </c>
      <c r="U33" s="28"/>
      <c r="V33" s="29">
        <v>0</v>
      </c>
      <c r="W33" s="30"/>
      <c r="X33" s="4"/>
      <c r="Y33" s="4"/>
    </row>
    <row r="34" spans="1:25" ht="79.5" thickBot="1" x14ac:dyDescent="0.35">
      <c r="A34" s="9">
        <v>31</v>
      </c>
      <c r="B34" s="9" t="s">
        <v>95</v>
      </c>
      <c r="C34" s="12" t="s">
        <v>37</v>
      </c>
      <c r="D34" s="24">
        <v>0</v>
      </c>
      <c r="E34" s="25">
        <v>0</v>
      </c>
      <c r="F34" s="26"/>
      <c r="G34" s="25">
        <v>0</v>
      </c>
      <c r="H34" s="27"/>
      <c r="I34" s="31">
        <v>0</v>
      </c>
      <c r="J34" s="29">
        <v>0</v>
      </c>
      <c r="K34" s="28"/>
      <c r="L34" s="29">
        <v>0</v>
      </c>
      <c r="M34" s="30"/>
      <c r="N34" s="31">
        <v>0</v>
      </c>
      <c r="O34" s="29">
        <v>0</v>
      </c>
      <c r="P34" s="28"/>
      <c r="Q34" s="29">
        <v>0</v>
      </c>
      <c r="R34" s="30"/>
      <c r="S34" s="31">
        <v>0</v>
      </c>
      <c r="T34" s="29">
        <v>0</v>
      </c>
      <c r="U34" s="28"/>
      <c r="V34" s="29">
        <v>0</v>
      </c>
      <c r="W34" s="30"/>
      <c r="X34" s="4"/>
      <c r="Y34" s="4"/>
    </row>
    <row r="35" spans="1:25" ht="48" thickBot="1" x14ac:dyDescent="0.35">
      <c r="A35" s="9">
        <v>32</v>
      </c>
      <c r="B35" s="9" t="s">
        <v>91</v>
      </c>
      <c r="C35" s="12" t="s">
        <v>38</v>
      </c>
      <c r="D35" s="24">
        <v>10</v>
      </c>
      <c r="E35" s="25">
        <v>0</v>
      </c>
      <c r="F35" s="26">
        <f t="shared" si="3"/>
        <v>0</v>
      </c>
      <c r="G35" s="25">
        <v>0</v>
      </c>
      <c r="H35" s="27">
        <f t="shared" si="4"/>
        <v>0</v>
      </c>
      <c r="I35" s="31">
        <v>8</v>
      </c>
      <c r="J35" s="29">
        <v>0</v>
      </c>
      <c r="K35" s="28">
        <f t="shared" si="5"/>
        <v>0</v>
      </c>
      <c r="L35" s="29">
        <v>0</v>
      </c>
      <c r="M35" s="30">
        <f t="shared" si="6"/>
        <v>0</v>
      </c>
      <c r="N35" s="31">
        <v>7</v>
      </c>
      <c r="O35" s="29">
        <v>0</v>
      </c>
      <c r="P35" s="28">
        <f t="shared" si="7"/>
        <v>0</v>
      </c>
      <c r="Q35" s="29">
        <v>0</v>
      </c>
      <c r="R35" s="30">
        <f t="shared" si="0"/>
        <v>0</v>
      </c>
      <c r="S35" s="31">
        <v>6</v>
      </c>
      <c r="T35" s="29">
        <v>0</v>
      </c>
      <c r="U35" s="28">
        <f t="shared" si="1"/>
        <v>0</v>
      </c>
      <c r="V35" s="29">
        <v>0</v>
      </c>
      <c r="W35" s="30">
        <f t="shared" si="2"/>
        <v>0</v>
      </c>
      <c r="X35" s="4"/>
      <c r="Y35" s="4"/>
    </row>
    <row r="36" spans="1:25" ht="126.75" thickBot="1" x14ac:dyDescent="0.35">
      <c r="A36" s="9">
        <v>33</v>
      </c>
      <c r="B36" s="9" t="s">
        <v>98</v>
      </c>
      <c r="C36" s="12" t="s">
        <v>39</v>
      </c>
      <c r="D36" s="24">
        <v>0</v>
      </c>
      <c r="E36" s="25">
        <v>0</v>
      </c>
      <c r="F36" s="26"/>
      <c r="G36" s="25">
        <v>0</v>
      </c>
      <c r="H36" s="27"/>
      <c r="I36" s="24">
        <v>0</v>
      </c>
      <c r="J36" s="29">
        <v>0</v>
      </c>
      <c r="K36" s="28"/>
      <c r="L36" s="29">
        <v>0</v>
      </c>
      <c r="M36" s="30"/>
      <c r="N36" s="31">
        <v>0</v>
      </c>
      <c r="O36" s="29">
        <v>0</v>
      </c>
      <c r="P36" s="28"/>
      <c r="Q36" s="29">
        <v>0</v>
      </c>
      <c r="R36" s="30"/>
      <c r="S36" s="31">
        <v>0</v>
      </c>
      <c r="T36" s="29">
        <v>0</v>
      </c>
      <c r="U36" s="28"/>
      <c r="V36" s="29">
        <v>0</v>
      </c>
      <c r="W36" s="30"/>
      <c r="X36" s="4"/>
      <c r="Y36" s="4"/>
    </row>
    <row r="37" spans="1:25" ht="102.6" customHeight="1" thickBot="1" x14ac:dyDescent="0.35">
      <c r="A37" s="9">
        <v>34</v>
      </c>
      <c r="B37" s="9" t="s">
        <v>95</v>
      </c>
      <c r="C37" s="12" t="s">
        <v>40</v>
      </c>
      <c r="D37" s="24">
        <v>0</v>
      </c>
      <c r="E37" s="25">
        <v>0</v>
      </c>
      <c r="F37" s="26"/>
      <c r="G37" s="25">
        <v>0</v>
      </c>
      <c r="H37" s="27"/>
      <c r="I37" s="24">
        <v>0</v>
      </c>
      <c r="J37" s="29">
        <v>0</v>
      </c>
      <c r="K37" s="28"/>
      <c r="L37" s="29">
        <v>0</v>
      </c>
      <c r="M37" s="30"/>
      <c r="N37" s="31">
        <v>0</v>
      </c>
      <c r="O37" s="29">
        <v>0</v>
      </c>
      <c r="P37" s="28"/>
      <c r="Q37" s="29">
        <v>0</v>
      </c>
      <c r="R37" s="30"/>
      <c r="S37" s="31">
        <v>0</v>
      </c>
      <c r="T37" s="29">
        <v>0</v>
      </c>
      <c r="U37" s="28"/>
      <c r="V37" s="29">
        <v>0</v>
      </c>
      <c r="W37" s="30"/>
      <c r="X37" s="4"/>
      <c r="Y37" s="4"/>
    </row>
    <row r="38" spans="1:25" ht="32.25" thickBot="1" x14ac:dyDescent="0.35">
      <c r="A38" s="9">
        <v>35</v>
      </c>
      <c r="B38" s="9" t="s">
        <v>99</v>
      </c>
      <c r="C38" s="12" t="s">
        <v>41</v>
      </c>
      <c r="D38" s="24">
        <v>345</v>
      </c>
      <c r="E38" s="25">
        <v>0</v>
      </c>
      <c r="F38" s="26">
        <f t="shared" si="3"/>
        <v>0</v>
      </c>
      <c r="G38" s="25">
        <v>0</v>
      </c>
      <c r="H38" s="27">
        <f t="shared" si="4"/>
        <v>0</v>
      </c>
      <c r="I38" s="24">
        <v>212</v>
      </c>
      <c r="J38" s="29">
        <v>0</v>
      </c>
      <c r="K38" s="28">
        <f t="shared" si="5"/>
        <v>0</v>
      </c>
      <c r="L38" s="29">
        <v>0</v>
      </c>
      <c r="M38" s="30">
        <f t="shared" si="6"/>
        <v>0</v>
      </c>
      <c r="N38" s="31">
        <v>189</v>
      </c>
      <c r="O38" s="29">
        <v>0</v>
      </c>
      <c r="P38" s="28">
        <f t="shared" si="7"/>
        <v>0</v>
      </c>
      <c r="Q38" s="29">
        <v>0</v>
      </c>
      <c r="R38" s="30">
        <f t="shared" si="0"/>
        <v>0</v>
      </c>
      <c r="S38" s="31">
        <v>0</v>
      </c>
      <c r="T38" s="29">
        <v>0</v>
      </c>
      <c r="U38" s="28"/>
      <c r="V38" s="29">
        <v>0</v>
      </c>
      <c r="W38" s="30"/>
      <c r="X38" s="4"/>
      <c r="Y38" s="4"/>
    </row>
    <row r="39" spans="1:25" ht="78.599999999999994" customHeight="1" thickBot="1" x14ac:dyDescent="0.35">
      <c r="A39" s="9">
        <v>36</v>
      </c>
      <c r="B39" s="9" t="s">
        <v>93</v>
      </c>
      <c r="C39" s="12" t="s">
        <v>42</v>
      </c>
      <c r="D39" s="24">
        <v>0</v>
      </c>
      <c r="E39" s="25">
        <v>0</v>
      </c>
      <c r="F39" s="26"/>
      <c r="G39" s="25">
        <v>0</v>
      </c>
      <c r="H39" s="27"/>
      <c r="I39" s="24">
        <v>0</v>
      </c>
      <c r="J39" s="29">
        <v>0</v>
      </c>
      <c r="K39" s="28"/>
      <c r="L39" s="29">
        <v>0</v>
      </c>
      <c r="M39" s="30"/>
      <c r="N39" s="31">
        <v>0</v>
      </c>
      <c r="O39" s="29">
        <v>0</v>
      </c>
      <c r="P39" s="28"/>
      <c r="Q39" s="29">
        <v>0</v>
      </c>
      <c r="R39" s="30"/>
      <c r="S39" s="31">
        <v>0</v>
      </c>
      <c r="T39" s="29">
        <v>0</v>
      </c>
      <c r="U39" s="28"/>
      <c r="V39" s="29">
        <v>0</v>
      </c>
      <c r="W39" s="30"/>
      <c r="X39" s="4"/>
      <c r="Y39" s="4"/>
    </row>
    <row r="40" spans="1:25" ht="63.75" thickBot="1" x14ac:dyDescent="0.35">
      <c r="A40" s="9">
        <v>37</v>
      </c>
      <c r="B40" s="9" t="s">
        <v>95</v>
      </c>
      <c r="C40" s="12" t="s">
        <v>43</v>
      </c>
      <c r="D40" s="24">
        <v>7</v>
      </c>
      <c r="E40" s="25">
        <v>0</v>
      </c>
      <c r="F40" s="26">
        <f t="shared" si="3"/>
        <v>0</v>
      </c>
      <c r="G40" s="25">
        <v>0</v>
      </c>
      <c r="H40" s="27">
        <f t="shared" si="4"/>
        <v>0</v>
      </c>
      <c r="I40" s="24">
        <v>16</v>
      </c>
      <c r="J40" s="29">
        <v>0</v>
      </c>
      <c r="K40" s="28">
        <f t="shared" si="5"/>
        <v>0</v>
      </c>
      <c r="L40" s="29">
        <v>0</v>
      </c>
      <c r="M40" s="30">
        <f t="shared" si="6"/>
        <v>0</v>
      </c>
      <c r="N40" s="31">
        <v>10</v>
      </c>
      <c r="O40" s="29">
        <v>0</v>
      </c>
      <c r="P40" s="28">
        <f t="shared" si="7"/>
        <v>0</v>
      </c>
      <c r="Q40" s="29">
        <v>0</v>
      </c>
      <c r="R40" s="30">
        <f t="shared" si="0"/>
        <v>0</v>
      </c>
      <c r="S40" s="31">
        <v>14</v>
      </c>
      <c r="T40" s="29">
        <v>0</v>
      </c>
      <c r="U40" s="28">
        <f t="shared" si="1"/>
        <v>0</v>
      </c>
      <c r="V40" s="29">
        <v>0</v>
      </c>
      <c r="W40" s="30">
        <f t="shared" si="2"/>
        <v>0</v>
      </c>
      <c r="X40" s="4"/>
      <c r="Y40" s="4"/>
    </row>
    <row r="41" spans="1:25" ht="48" thickBot="1" x14ac:dyDescent="0.35">
      <c r="A41" s="9">
        <v>38</v>
      </c>
      <c r="B41" s="9" t="s">
        <v>95</v>
      </c>
      <c r="C41" s="12" t="s">
        <v>44</v>
      </c>
      <c r="D41" s="24">
        <v>2</v>
      </c>
      <c r="E41" s="25">
        <v>0</v>
      </c>
      <c r="F41" s="26">
        <f t="shared" si="3"/>
        <v>0</v>
      </c>
      <c r="G41" s="25">
        <v>0</v>
      </c>
      <c r="H41" s="27">
        <f t="shared" si="4"/>
        <v>0</v>
      </c>
      <c r="I41" s="24">
        <v>4</v>
      </c>
      <c r="J41" s="29">
        <v>0</v>
      </c>
      <c r="K41" s="28">
        <f t="shared" si="5"/>
        <v>0</v>
      </c>
      <c r="L41" s="29">
        <v>0</v>
      </c>
      <c r="M41" s="30">
        <f t="shared" si="6"/>
        <v>0</v>
      </c>
      <c r="N41" s="31">
        <v>2</v>
      </c>
      <c r="O41" s="29">
        <v>0</v>
      </c>
      <c r="P41" s="28">
        <f t="shared" si="7"/>
        <v>0</v>
      </c>
      <c r="Q41" s="29">
        <v>0</v>
      </c>
      <c r="R41" s="30">
        <f t="shared" si="0"/>
        <v>0</v>
      </c>
      <c r="S41" s="31">
        <v>1</v>
      </c>
      <c r="T41" s="29">
        <v>0</v>
      </c>
      <c r="U41" s="28">
        <f t="shared" si="1"/>
        <v>0</v>
      </c>
      <c r="V41" s="29">
        <v>0</v>
      </c>
      <c r="W41" s="30">
        <f t="shared" si="2"/>
        <v>0</v>
      </c>
      <c r="X41" s="4"/>
      <c r="Y41" s="4"/>
    </row>
    <row r="42" spans="1:25" ht="63.75" thickBot="1" x14ac:dyDescent="0.35">
      <c r="A42" s="10">
        <v>39</v>
      </c>
      <c r="B42" s="10" t="s">
        <v>93</v>
      </c>
      <c r="C42" s="11" t="s">
        <v>45</v>
      </c>
      <c r="D42" s="20">
        <v>194</v>
      </c>
      <c r="E42" s="21">
        <v>0</v>
      </c>
      <c r="F42" s="22">
        <f t="shared" si="3"/>
        <v>0</v>
      </c>
      <c r="G42" s="21">
        <v>0</v>
      </c>
      <c r="H42" s="23">
        <f t="shared" si="4"/>
        <v>0</v>
      </c>
      <c r="I42" s="20">
        <v>345</v>
      </c>
      <c r="J42" s="21">
        <v>0</v>
      </c>
      <c r="K42" s="22">
        <f t="shared" si="5"/>
        <v>0</v>
      </c>
      <c r="L42" s="21">
        <v>0</v>
      </c>
      <c r="M42" s="23">
        <f t="shared" si="6"/>
        <v>0</v>
      </c>
      <c r="N42" s="20">
        <v>57</v>
      </c>
      <c r="O42" s="21">
        <v>0</v>
      </c>
      <c r="P42" s="22">
        <f t="shared" si="7"/>
        <v>0</v>
      </c>
      <c r="Q42" s="21">
        <v>0</v>
      </c>
      <c r="R42" s="23">
        <f t="shared" si="0"/>
        <v>0</v>
      </c>
      <c r="S42" s="20">
        <v>128</v>
      </c>
      <c r="T42" s="21">
        <v>0</v>
      </c>
      <c r="U42" s="22">
        <f t="shared" si="1"/>
        <v>0</v>
      </c>
      <c r="V42" s="21">
        <v>0</v>
      </c>
      <c r="W42" s="23">
        <f t="shared" si="2"/>
        <v>0</v>
      </c>
    </row>
    <row r="43" spans="1:25" ht="63.75" thickBot="1" x14ac:dyDescent="0.35">
      <c r="A43" s="9">
        <v>40</v>
      </c>
      <c r="B43" s="9" t="s">
        <v>91</v>
      </c>
      <c r="C43" s="12" t="s">
        <v>46</v>
      </c>
      <c r="D43" s="24">
        <v>0</v>
      </c>
      <c r="E43" s="25">
        <v>0</v>
      </c>
      <c r="F43" s="26"/>
      <c r="G43" s="25">
        <v>0</v>
      </c>
      <c r="H43" s="30"/>
      <c r="I43" s="31">
        <v>2</v>
      </c>
      <c r="J43" s="29">
        <v>0</v>
      </c>
      <c r="K43" s="28">
        <f t="shared" si="5"/>
        <v>0</v>
      </c>
      <c r="L43" s="29">
        <v>0</v>
      </c>
      <c r="M43" s="30">
        <f t="shared" si="6"/>
        <v>0</v>
      </c>
      <c r="N43" s="31">
        <v>7</v>
      </c>
      <c r="O43" s="29">
        <v>0</v>
      </c>
      <c r="P43" s="28">
        <f t="shared" si="7"/>
        <v>0</v>
      </c>
      <c r="Q43" s="29">
        <v>0</v>
      </c>
      <c r="R43" s="30">
        <f t="shared" si="0"/>
        <v>0</v>
      </c>
      <c r="S43" s="31">
        <v>0</v>
      </c>
      <c r="T43" s="29">
        <v>0</v>
      </c>
      <c r="U43" s="28"/>
      <c r="V43" s="29">
        <v>0</v>
      </c>
      <c r="W43" s="30"/>
      <c r="X43" s="4"/>
      <c r="Y43" s="4"/>
    </row>
    <row r="44" spans="1:25" ht="88.5" customHeight="1" thickBot="1" x14ac:dyDescent="0.35">
      <c r="A44" s="9">
        <v>41</v>
      </c>
      <c r="B44" s="9" t="s">
        <v>97</v>
      </c>
      <c r="C44" s="12" t="s">
        <v>47</v>
      </c>
      <c r="D44" s="24">
        <v>14</v>
      </c>
      <c r="E44" s="25">
        <v>0</v>
      </c>
      <c r="F44" s="26">
        <f t="shared" si="3"/>
        <v>0</v>
      </c>
      <c r="G44" s="25">
        <v>0</v>
      </c>
      <c r="H44" s="30">
        <f t="shared" si="4"/>
        <v>0</v>
      </c>
      <c r="I44" s="31">
        <v>112</v>
      </c>
      <c r="J44" s="29">
        <v>0</v>
      </c>
      <c r="K44" s="28">
        <f t="shared" si="5"/>
        <v>0</v>
      </c>
      <c r="L44" s="29">
        <v>0</v>
      </c>
      <c r="M44" s="30">
        <f t="shared" si="6"/>
        <v>0</v>
      </c>
      <c r="N44" s="31">
        <v>18</v>
      </c>
      <c r="O44" s="29">
        <v>0</v>
      </c>
      <c r="P44" s="28">
        <f t="shared" si="7"/>
        <v>0</v>
      </c>
      <c r="Q44" s="29">
        <v>0</v>
      </c>
      <c r="R44" s="30">
        <f t="shared" si="0"/>
        <v>0</v>
      </c>
      <c r="S44" s="31">
        <v>132</v>
      </c>
      <c r="T44" s="29">
        <v>0</v>
      </c>
      <c r="U44" s="28">
        <f t="shared" si="1"/>
        <v>0</v>
      </c>
      <c r="V44" s="29">
        <v>132</v>
      </c>
      <c r="W44" s="30">
        <f t="shared" si="2"/>
        <v>100</v>
      </c>
      <c r="X44" s="4"/>
      <c r="Y44" s="4"/>
    </row>
    <row r="45" spans="1:25" ht="48" thickBot="1" x14ac:dyDescent="0.35">
      <c r="A45" s="9">
        <v>42</v>
      </c>
      <c r="B45" s="9" t="s">
        <v>98</v>
      </c>
      <c r="C45" s="12" t="s">
        <v>48</v>
      </c>
      <c r="D45" s="24">
        <v>0</v>
      </c>
      <c r="E45" s="25">
        <v>0</v>
      </c>
      <c r="F45" s="26"/>
      <c r="G45" s="25">
        <v>0</v>
      </c>
      <c r="H45" s="30"/>
      <c r="I45" s="31">
        <v>0</v>
      </c>
      <c r="J45" s="29">
        <v>0</v>
      </c>
      <c r="K45" s="28"/>
      <c r="L45" s="29">
        <v>0</v>
      </c>
      <c r="M45" s="30"/>
      <c r="N45" s="31">
        <v>0</v>
      </c>
      <c r="O45" s="29">
        <v>0</v>
      </c>
      <c r="P45" s="28"/>
      <c r="Q45" s="29">
        <v>0</v>
      </c>
      <c r="R45" s="30"/>
      <c r="S45" s="31">
        <v>0</v>
      </c>
      <c r="T45" s="29">
        <v>0</v>
      </c>
      <c r="U45" s="28"/>
      <c r="V45" s="29">
        <v>0</v>
      </c>
      <c r="W45" s="30"/>
      <c r="X45" s="4"/>
      <c r="Y45" s="4"/>
    </row>
    <row r="46" spans="1:25" ht="79.5" thickBot="1" x14ac:dyDescent="0.35">
      <c r="A46" s="9">
        <v>43</v>
      </c>
      <c r="B46" s="9" t="s">
        <v>95</v>
      </c>
      <c r="C46" s="12" t="s">
        <v>49</v>
      </c>
      <c r="D46" s="24">
        <v>0</v>
      </c>
      <c r="E46" s="25">
        <v>0</v>
      </c>
      <c r="F46" s="26"/>
      <c r="G46" s="25">
        <v>0</v>
      </c>
      <c r="H46" s="30"/>
      <c r="I46" s="31">
        <v>0</v>
      </c>
      <c r="J46" s="29">
        <v>0</v>
      </c>
      <c r="K46" s="28"/>
      <c r="L46" s="29">
        <v>0</v>
      </c>
      <c r="M46" s="30"/>
      <c r="N46" s="31">
        <v>0</v>
      </c>
      <c r="O46" s="29">
        <v>0</v>
      </c>
      <c r="P46" s="28"/>
      <c r="Q46" s="29">
        <v>0</v>
      </c>
      <c r="R46" s="30"/>
      <c r="S46" s="31">
        <v>0</v>
      </c>
      <c r="T46" s="29">
        <v>0</v>
      </c>
      <c r="U46" s="28"/>
      <c r="V46" s="29">
        <v>0</v>
      </c>
      <c r="W46" s="30"/>
      <c r="X46" s="4"/>
      <c r="Y46" s="4"/>
    </row>
    <row r="47" spans="1:25" ht="48" thickBot="1" x14ac:dyDescent="0.35">
      <c r="A47" s="9">
        <v>44</v>
      </c>
      <c r="B47" s="9" t="s">
        <v>101</v>
      </c>
      <c r="C47" s="12" t="s">
        <v>50</v>
      </c>
      <c r="D47" s="24">
        <v>3</v>
      </c>
      <c r="E47" s="25">
        <v>0</v>
      </c>
      <c r="F47" s="26">
        <f t="shared" si="3"/>
        <v>0</v>
      </c>
      <c r="G47" s="25">
        <v>1</v>
      </c>
      <c r="H47" s="30">
        <f t="shared" si="4"/>
        <v>33.333333333333336</v>
      </c>
      <c r="I47" s="31">
        <v>16</v>
      </c>
      <c r="J47" s="29">
        <v>0</v>
      </c>
      <c r="K47" s="28">
        <f t="shared" si="5"/>
        <v>0</v>
      </c>
      <c r="L47" s="29">
        <v>10</v>
      </c>
      <c r="M47" s="30">
        <f t="shared" si="6"/>
        <v>62.5</v>
      </c>
      <c r="N47" s="31">
        <v>7</v>
      </c>
      <c r="O47" s="29">
        <v>0</v>
      </c>
      <c r="P47" s="28">
        <f t="shared" si="7"/>
        <v>0</v>
      </c>
      <c r="Q47" s="29">
        <v>0</v>
      </c>
      <c r="R47" s="30">
        <f t="shared" si="0"/>
        <v>0</v>
      </c>
      <c r="S47" s="31">
        <v>4</v>
      </c>
      <c r="T47" s="29">
        <v>0</v>
      </c>
      <c r="U47" s="28">
        <f t="shared" si="1"/>
        <v>0</v>
      </c>
      <c r="V47" s="29">
        <v>0</v>
      </c>
      <c r="W47" s="30">
        <f t="shared" si="2"/>
        <v>0</v>
      </c>
      <c r="X47" s="4"/>
      <c r="Y47" s="4"/>
    </row>
    <row r="48" spans="1:25" ht="63.75" thickBot="1" x14ac:dyDescent="0.35">
      <c r="A48" s="9">
        <v>45</v>
      </c>
      <c r="B48" s="9" t="s">
        <v>95</v>
      </c>
      <c r="C48" s="12" t="s">
        <v>51</v>
      </c>
      <c r="D48" s="24">
        <v>5</v>
      </c>
      <c r="E48" s="25">
        <v>0</v>
      </c>
      <c r="F48" s="26">
        <f t="shared" si="3"/>
        <v>0</v>
      </c>
      <c r="G48" s="25">
        <v>0</v>
      </c>
      <c r="H48" s="30">
        <f t="shared" si="4"/>
        <v>0</v>
      </c>
      <c r="I48" s="31">
        <v>10</v>
      </c>
      <c r="J48" s="29">
        <v>0</v>
      </c>
      <c r="K48" s="28">
        <f t="shared" si="5"/>
        <v>0</v>
      </c>
      <c r="L48" s="29">
        <v>0</v>
      </c>
      <c r="M48" s="30">
        <f t="shared" si="6"/>
        <v>0</v>
      </c>
      <c r="N48" s="31">
        <v>8</v>
      </c>
      <c r="O48" s="29">
        <v>0</v>
      </c>
      <c r="P48" s="28">
        <f t="shared" si="7"/>
        <v>0</v>
      </c>
      <c r="Q48" s="29">
        <v>0</v>
      </c>
      <c r="R48" s="30">
        <f t="shared" si="0"/>
        <v>0</v>
      </c>
      <c r="S48" s="31">
        <v>11</v>
      </c>
      <c r="T48" s="29">
        <v>0</v>
      </c>
      <c r="U48" s="28">
        <f t="shared" si="1"/>
        <v>0</v>
      </c>
      <c r="V48" s="29">
        <v>0</v>
      </c>
      <c r="W48" s="30">
        <f t="shared" si="2"/>
        <v>0</v>
      </c>
      <c r="X48" s="4"/>
      <c r="Y48" s="4"/>
    </row>
    <row r="49" spans="1:25" ht="46.5" customHeight="1" thickBot="1" x14ac:dyDescent="0.35">
      <c r="A49" s="9">
        <v>46</v>
      </c>
      <c r="B49" s="9" t="s">
        <v>95</v>
      </c>
      <c r="C49" s="12" t="s">
        <v>52</v>
      </c>
      <c r="D49" s="24">
        <v>5</v>
      </c>
      <c r="E49" s="25">
        <v>0</v>
      </c>
      <c r="F49" s="26">
        <f t="shared" si="3"/>
        <v>0</v>
      </c>
      <c r="G49" s="25">
        <v>0</v>
      </c>
      <c r="H49" s="30">
        <f t="shared" si="4"/>
        <v>0</v>
      </c>
      <c r="I49" s="31">
        <v>0</v>
      </c>
      <c r="J49" s="29">
        <v>0</v>
      </c>
      <c r="K49" s="28"/>
      <c r="L49" s="29">
        <v>0</v>
      </c>
      <c r="M49" s="30"/>
      <c r="N49" s="31">
        <v>9</v>
      </c>
      <c r="O49" s="29">
        <v>0</v>
      </c>
      <c r="P49" s="28">
        <f t="shared" si="7"/>
        <v>0</v>
      </c>
      <c r="Q49" s="29">
        <v>0</v>
      </c>
      <c r="R49" s="30">
        <f t="shared" si="0"/>
        <v>0</v>
      </c>
      <c r="S49" s="31">
        <v>0</v>
      </c>
      <c r="T49" s="29">
        <v>0</v>
      </c>
      <c r="U49" s="28"/>
      <c r="V49" s="29">
        <v>0</v>
      </c>
      <c r="W49" s="30"/>
      <c r="X49" s="4"/>
      <c r="Y49" s="4"/>
    </row>
    <row r="50" spans="1:25" ht="48" thickBot="1" x14ac:dyDescent="0.35">
      <c r="A50" s="9">
        <v>47</v>
      </c>
      <c r="B50" s="9" t="s">
        <v>91</v>
      </c>
      <c r="C50" s="12" t="s">
        <v>53</v>
      </c>
      <c r="D50" s="24">
        <v>38</v>
      </c>
      <c r="E50" s="25">
        <v>0</v>
      </c>
      <c r="F50" s="26">
        <f t="shared" si="3"/>
        <v>0</v>
      </c>
      <c r="G50" s="25">
        <v>0</v>
      </c>
      <c r="H50" s="30">
        <f t="shared" si="4"/>
        <v>0</v>
      </c>
      <c r="I50" s="31">
        <v>55</v>
      </c>
      <c r="J50" s="29">
        <v>0</v>
      </c>
      <c r="K50" s="28">
        <f t="shared" si="5"/>
        <v>0</v>
      </c>
      <c r="L50" s="29">
        <v>0</v>
      </c>
      <c r="M50" s="30">
        <f t="shared" si="6"/>
        <v>0</v>
      </c>
      <c r="N50" s="31">
        <v>80</v>
      </c>
      <c r="O50" s="29">
        <v>0</v>
      </c>
      <c r="P50" s="28">
        <f t="shared" si="7"/>
        <v>0</v>
      </c>
      <c r="Q50" s="29">
        <v>0</v>
      </c>
      <c r="R50" s="30">
        <f t="shared" si="0"/>
        <v>0</v>
      </c>
      <c r="S50" s="31">
        <v>86</v>
      </c>
      <c r="T50" s="29">
        <v>0</v>
      </c>
      <c r="U50" s="28">
        <f t="shared" si="1"/>
        <v>0</v>
      </c>
      <c r="V50" s="29">
        <v>0</v>
      </c>
      <c r="W50" s="30">
        <f t="shared" si="2"/>
        <v>0</v>
      </c>
      <c r="X50" s="4"/>
      <c r="Y50" s="4"/>
    </row>
    <row r="51" spans="1:25" ht="63.75" thickBot="1" x14ac:dyDescent="0.35">
      <c r="A51" s="9">
        <v>48</v>
      </c>
      <c r="B51" s="9" t="s">
        <v>93</v>
      </c>
      <c r="C51" s="12" t="s">
        <v>54</v>
      </c>
      <c r="D51" s="24">
        <v>0</v>
      </c>
      <c r="E51" s="25">
        <v>0</v>
      </c>
      <c r="F51" s="26"/>
      <c r="G51" s="25">
        <v>0</v>
      </c>
      <c r="H51" s="30"/>
      <c r="I51" s="31">
        <v>0</v>
      </c>
      <c r="J51" s="29">
        <v>0</v>
      </c>
      <c r="K51" s="28"/>
      <c r="L51" s="29">
        <v>0</v>
      </c>
      <c r="M51" s="30"/>
      <c r="N51" s="31">
        <v>0</v>
      </c>
      <c r="O51" s="29">
        <v>0</v>
      </c>
      <c r="P51" s="28"/>
      <c r="Q51" s="29">
        <v>0</v>
      </c>
      <c r="R51" s="30"/>
      <c r="S51" s="31">
        <v>0</v>
      </c>
      <c r="T51" s="29">
        <v>0</v>
      </c>
      <c r="U51" s="28"/>
      <c r="V51" s="29">
        <v>0</v>
      </c>
      <c r="W51" s="30"/>
      <c r="X51" s="4"/>
      <c r="Y51" s="4"/>
    </row>
    <row r="52" spans="1:25" ht="61.5" customHeight="1" thickBot="1" x14ac:dyDescent="0.35">
      <c r="A52" s="10">
        <v>49</v>
      </c>
      <c r="B52" s="10" t="s">
        <v>96</v>
      </c>
      <c r="C52" s="11" t="s">
        <v>55</v>
      </c>
      <c r="D52" s="20">
        <v>641</v>
      </c>
      <c r="E52" s="21">
        <v>69</v>
      </c>
      <c r="F52" s="22">
        <f t="shared" si="3"/>
        <v>10.76443057722309</v>
      </c>
      <c r="G52" s="21">
        <v>2</v>
      </c>
      <c r="H52" s="23">
        <f t="shared" si="4"/>
        <v>0.31201248049921998</v>
      </c>
      <c r="I52" s="20">
        <v>440</v>
      </c>
      <c r="J52" s="21">
        <v>140</v>
      </c>
      <c r="K52" s="22">
        <f t="shared" si="5"/>
        <v>31.818181818181817</v>
      </c>
      <c r="L52" s="21">
        <v>1</v>
      </c>
      <c r="M52" s="23">
        <f t="shared" si="6"/>
        <v>0.22727272727272727</v>
      </c>
      <c r="N52" s="20">
        <v>501</v>
      </c>
      <c r="O52" s="21">
        <v>116</v>
      </c>
      <c r="P52" s="22">
        <f t="shared" si="7"/>
        <v>23.15369261477046</v>
      </c>
      <c r="Q52" s="21">
        <v>0</v>
      </c>
      <c r="R52" s="23">
        <f t="shared" si="0"/>
        <v>0</v>
      </c>
      <c r="S52" s="20">
        <v>899</v>
      </c>
      <c r="T52" s="21">
        <v>199</v>
      </c>
      <c r="U52" s="22">
        <f t="shared" si="1"/>
        <v>22.135706340378199</v>
      </c>
      <c r="V52" s="21">
        <v>0</v>
      </c>
      <c r="W52" s="23">
        <f t="shared" si="2"/>
        <v>0</v>
      </c>
    </row>
    <row r="53" spans="1:25" ht="92.65" customHeight="1" thickBot="1" x14ac:dyDescent="0.35">
      <c r="A53" s="9">
        <v>50</v>
      </c>
      <c r="B53" s="9" t="s">
        <v>91</v>
      </c>
      <c r="C53" s="12" t="s">
        <v>56</v>
      </c>
      <c r="D53" s="24">
        <v>3</v>
      </c>
      <c r="E53" s="25">
        <v>0</v>
      </c>
      <c r="F53" s="26">
        <f t="shared" si="3"/>
        <v>0</v>
      </c>
      <c r="G53" s="25">
        <v>0</v>
      </c>
      <c r="H53" s="27">
        <f t="shared" si="4"/>
        <v>0</v>
      </c>
      <c r="I53" s="24">
        <v>0</v>
      </c>
      <c r="J53" s="29">
        <v>0</v>
      </c>
      <c r="K53" s="28"/>
      <c r="L53" s="29">
        <v>0</v>
      </c>
      <c r="M53" s="30"/>
      <c r="N53" s="31">
        <v>3</v>
      </c>
      <c r="O53" s="29">
        <v>0</v>
      </c>
      <c r="P53" s="28">
        <f t="shared" si="7"/>
        <v>0</v>
      </c>
      <c r="Q53" s="29">
        <v>0</v>
      </c>
      <c r="R53" s="30">
        <f t="shared" si="0"/>
        <v>0</v>
      </c>
      <c r="S53" s="31">
        <v>1</v>
      </c>
      <c r="T53" s="29">
        <v>0</v>
      </c>
      <c r="U53" s="28">
        <f t="shared" si="1"/>
        <v>0</v>
      </c>
      <c r="V53" s="29">
        <v>0</v>
      </c>
      <c r="W53" s="30">
        <f t="shared" si="2"/>
        <v>0</v>
      </c>
      <c r="X53" s="4"/>
      <c r="Y53" s="4"/>
    </row>
    <row r="54" spans="1:25" ht="116.65" customHeight="1" thickBot="1" x14ac:dyDescent="0.35">
      <c r="A54" s="10">
        <v>51</v>
      </c>
      <c r="B54" s="10" t="s">
        <v>91</v>
      </c>
      <c r="C54" s="11" t="s">
        <v>57</v>
      </c>
      <c r="D54" s="20">
        <v>113</v>
      </c>
      <c r="E54" s="21">
        <v>64</v>
      </c>
      <c r="F54" s="22">
        <f t="shared" si="3"/>
        <v>56.637168141592923</v>
      </c>
      <c r="G54" s="21">
        <v>0</v>
      </c>
      <c r="H54" s="23">
        <f t="shared" si="4"/>
        <v>0</v>
      </c>
      <c r="I54" s="20">
        <v>292</v>
      </c>
      <c r="J54" s="21">
        <v>223</v>
      </c>
      <c r="K54" s="22">
        <f t="shared" si="5"/>
        <v>76.369863013698634</v>
      </c>
      <c r="L54" s="21">
        <v>0</v>
      </c>
      <c r="M54" s="23">
        <f t="shared" si="6"/>
        <v>0</v>
      </c>
      <c r="N54" s="20">
        <v>127</v>
      </c>
      <c r="O54" s="21">
        <v>55</v>
      </c>
      <c r="P54" s="22">
        <f t="shared" si="7"/>
        <v>43.30708661417323</v>
      </c>
      <c r="Q54" s="21">
        <v>0</v>
      </c>
      <c r="R54" s="23">
        <f t="shared" si="0"/>
        <v>0</v>
      </c>
      <c r="S54" s="20">
        <v>170</v>
      </c>
      <c r="T54" s="21">
        <v>30</v>
      </c>
      <c r="U54" s="22">
        <f t="shared" si="1"/>
        <v>17.647058823529413</v>
      </c>
      <c r="V54" s="21">
        <v>0</v>
      </c>
      <c r="W54" s="23">
        <f t="shared" si="2"/>
        <v>0</v>
      </c>
    </row>
    <row r="55" spans="1:25" ht="48" thickBot="1" x14ac:dyDescent="0.35">
      <c r="A55" s="9">
        <v>52</v>
      </c>
      <c r="B55" s="9" t="s">
        <v>98</v>
      </c>
      <c r="C55" s="12" t="s">
        <v>58</v>
      </c>
      <c r="D55" s="24">
        <v>0</v>
      </c>
      <c r="E55" s="25">
        <v>0</v>
      </c>
      <c r="F55" s="26"/>
      <c r="G55" s="25">
        <v>0</v>
      </c>
      <c r="H55" s="27"/>
      <c r="I55" s="31">
        <v>0</v>
      </c>
      <c r="J55" s="29">
        <v>0</v>
      </c>
      <c r="K55" s="28"/>
      <c r="L55" s="29">
        <v>0</v>
      </c>
      <c r="M55" s="30"/>
      <c r="N55" s="31">
        <v>4</v>
      </c>
      <c r="O55" s="29">
        <v>0</v>
      </c>
      <c r="P55" s="28">
        <f t="shared" si="7"/>
        <v>0</v>
      </c>
      <c r="Q55" s="29">
        <v>0</v>
      </c>
      <c r="R55" s="30">
        <f t="shared" si="0"/>
        <v>0</v>
      </c>
      <c r="S55" s="31">
        <v>0</v>
      </c>
      <c r="T55" s="29">
        <v>0</v>
      </c>
      <c r="U55" s="28"/>
      <c r="V55" s="29">
        <v>0</v>
      </c>
      <c r="W55" s="30"/>
      <c r="X55" s="4"/>
    </row>
    <row r="56" spans="1:25" ht="79.5" thickBot="1" x14ac:dyDescent="0.35">
      <c r="A56" s="9">
        <v>53</v>
      </c>
      <c r="B56" s="9" t="s">
        <v>101</v>
      </c>
      <c r="C56" s="12" t="s">
        <v>59</v>
      </c>
      <c r="D56" s="24">
        <v>0</v>
      </c>
      <c r="E56" s="25">
        <v>0</v>
      </c>
      <c r="F56" s="26"/>
      <c r="G56" s="25">
        <v>0</v>
      </c>
      <c r="H56" s="27"/>
      <c r="I56" s="31">
        <v>0</v>
      </c>
      <c r="J56" s="29">
        <v>0</v>
      </c>
      <c r="K56" s="28"/>
      <c r="L56" s="29">
        <v>0</v>
      </c>
      <c r="M56" s="30"/>
      <c r="N56" s="31">
        <v>0</v>
      </c>
      <c r="O56" s="29">
        <v>0</v>
      </c>
      <c r="P56" s="28"/>
      <c r="Q56" s="29">
        <v>0</v>
      </c>
      <c r="R56" s="30"/>
      <c r="S56" s="31">
        <v>0</v>
      </c>
      <c r="T56" s="29">
        <v>0</v>
      </c>
      <c r="U56" s="28"/>
      <c r="V56" s="29">
        <v>0</v>
      </c>
      <c r="W56" s="30"/>
      <c r="X56" s="4"/>
    </row>
    <row r="57" spans="1:25" ht="76.150000000000006" customHeight="1" thickBot="1" x14ac:dyDescent="0.35">
      <c r="A57" s="9">
        <v>54</v>
      </c>
      <c r="B57" s="9" t="s">
        <v>101</v>
      </c>
      <c r="C57" s="12" t="s">
        <v>60</v>
      </c>
      <c r="D57" s="24">
        <v>0</v>
      </c>
      <c r="E57" s="25">
        <v>0</v>
      </c>
      <c r="F57" s="26"/>
      <c r="G57" s="25">
        <v>0</v>
      </c>
      <c r="H57" s="27"/>
      <c r="I57" s="31">
        <v>0</v>
      </c>
      <c r="J57" s="29">
        <v>0</v>
      </c>
      <c r="K57" s="28"/>
      <c r="L57" s="29">
        <v>0</v>
      </c>
      <c r="M57" s="30"/>
      <c r="N57" s="31">
        <v>0</v>
      </c>
      <c r="O57" s="29">
        <v>0</v>
      </c>
      <c r="P57" s="28"/>
      <c r="Q57" s="29">
        <v>0</v>
      </c>
      <c r="R57" s="30"/>
      <c r="S57" s="31">
        <v>0</v>
      </c>
      <c r="T57" s="29">
        <v>0</v>
      </c>
      <c r="U57" s="28"/>
      <c r="V57" s="29">
        <v>0</v>
      </c>
      <c r="W57" s="30"/>
      <c r="X57" s="4"/>
    </row>
    <row r="58" spans="1:25" ht="48" thickBot="1" x14ac:dyDescent="0.35">
      <c r="A58" s="9">
        <v>55</v>
      </c>
      <c r="B58" s="9" t="s">
        <v>93</v>
      </c>
      <c r="C58" s="12" t="s">
        <v>61</v>
      </c>
      <c r="D58" s="24">
        <v>2</v>
      </c>
      <c r="E58" s="25">
        <v>0</v>
      </c>
      <c r="F58" s="26">
        <f t="shared" si="3"/>
        <v>0</v>
      </c>
      <c r="G58" s="25">
        <v>0</v>
      </c>
      <c r="H58" s="27">
        <f t="shared" si="4"/>
        <v>0</v>
      </c>
      <c r="I58" s="31">
        <v>2</v>
      </c>
      <c r="J58" s="29">
        <v>0</v>
      </c>
      <c r="K58" s="28">
        <f t="shared" si="5"/>
        <v>0</v>
      </c>
      <c r="L58" s="29">
        <v>0</v>
      </c>
      <c r="M58" s="30">
        <f t="shared" si="6"/>
        <v>0</v>
      </c>
      <c r="N58" s="31">
        <v>4</v>
      </c>
      <c r="O58" s="29">
        <v>0</v>
      </c>
      <c r="P58" s="28">
        <f t="shared" si="7"/>
        <v>0</v>
      </c>
      <c r="Q58" s="29">
        <v>0</v>
      </c>
      <c r="R58" s="30">
        <f t="shared" si="0"/>
        <v>0</v>
      </c>
      <c r="S58" s="31">
        <v>0</v>
      </c>
      <c r="T58" s="29">
        <v>0</v>
      </c>
      <c r="U58" s="28"/>
      <c r="V58" s="29">
        <v>0</v>
      </c>
      <c r="W58" s="30"/>
      <c r="X58" s="4"/>
    </row>
    <row r="59" spans="1:25" ht="48" thickBot="1" x14ac:dyDescent="0.35">
      <c r="A59" s="9">
        <v>56</v>
      </c>
      <c r="B59" s="9" t="s">
        <v>92</v>
      </c>
      <c r="C59" s="12" t="s">
        <v>62</v>
      </c>
      <c r="D59" s="24">
        <v>0</v>
      </c>
      <c r="E59" s="25">
        <v>0</v>
      </c>
      <c r="F59" s="26"/>
      <c r="G59" s="25">
        <v>0</v>
      </c>
      <c r="H59" s="27"/>
      <c r="I59" s="31">
        <v>2</v>
      </c>
      <c r="J59" s="29">
        <v>0</v>
      </c>
      <c r="K59" s="28">
        <f t="shared" si="5"/>
        <v>0</v>
      </c>
      <c r="L59" s="29">
        <v>0</v>
      </c>
      <c r="M59" s="30">
        <f t="shared" si="6"/>
        <v>0</v>
      </c>
      <c r="N59" s="31">
        <v>1</v>
      </c>
      <c r="O59" s="29">
        <v>0</v>
      </c>
      <c r="P59" s="28">
        <f t="shared" si="7"/>
        <v>0</v>
      </c>
      <c r="Q59" s="29">
        <v>0</v>
      </c>
      <c r="R59" s="30">
        <f t="shared" si="0"/>
        <v>0</v>
      </c>
      <c r="S59" s="31">
        <v>0</v>
      </c>
      <c r="T59" s="29">
        <v>0</v>
      </c>
      <c r="U59" s="28"/>
      <c r="V59" s="29">
        <v>0</v>
      </c>
      <c r="W59" s="30"/>
      <c r="X59" s="4"/>
    </row>
    <row r="60" spans="1:25" ht="102.6" customHeight="1" thickBot="1" x14ac:dyDescent="0.35">
      <c r="A60" s="9">
        <v>57</v>
      </c>
      <c r="B60" s="9" t="s">
        <v>91</v>
      </c>
      <c r="C60" s="12" t="s">
        <v>63</v>
      </c>
      <c r="D60" s="24">
        <v>4</v>
      </c>
      <c r="E60" s="25">
        <v>0</v>
      </c>
      <c r="F60" s="26">
        <f t="shared" si="3"/>
        <v>0</v>
      </c>
      <c r="G60" s="25">
        <v>0</v>
      </c>
      <c r="H60" s="27">
        <f t="shared" si="4"/>
        <v>0</v>
      </c>
      <c r="I60" s="31">
        <v>1</v>
      </c>
      <c r="J60" s="29">
        <v>0</v>
      </c>
      <c r="K60" s="28">
        <f t="shared" si="5"/>
        <v>0</v>
      </c>
      <c r="L60" s="29">
        <v>0</v>
      </c>
      <c r="M60" s="30">
        <f t="shared" si="6"/>
        <v>0</v>
      </c>
      <c r="N60" s="31">
        <v>4</v>
      </c>
      <c r="O60" s="29">
        <v>0</v>
      </c>
      <c r="P60" s="28">
        <f t="shared" si="7"/>
        <v>0</v>
      </c>
      <c r="Q60" s="29">
        <v>0</v>
      </c>
      <c r="R60" s="30">
        <f t="shared" si="0"/>
        <v>0</v>
      </c>
      <c r="S60" s="31">
        <v>4</v>
      </c>
      <c r="T60" s="29">
        <v>0</v>
      </c>
      <c r="U60" s="28">
        <f t="shared" si="1"/>
        <v>0</v>
      </c>
      <c r="V60" s="29">
        <v>0</v>
      </c>
      <c r="W60" s="30">
        <f t="shared" si="2"/>
        <v>0</v>
      </c>
      <c r="X60" s="4"/>
    </row>
    <row r="61" spans="1:25" ht="48" thickBot="1" x14ac:dyDescent="0.35">
      <c r="A61" s="9">
        <v>58</v>
      </c>
      <c r="B61" s="9" t="s">
        <v>94</v>
      </c>
      <c r="C61" s="12" t="s">
        <v>64</v>
      </c>
      <c r="D61" s="24">
        <v>0</v>
      </c>
      <c r="E61" s="25">
        <v>0</v>
      </c>
      <c r="F61" s="26"/>
      <c r="G61" s="25">
        <v>0</v>
      </c>
      <c r="H61" s="27"/>
      <c r="I61" s="24">
        <v>0</v>
      </c>
      <c r="J61" s="29">
        <v>0</v>
      </c>
      <c r="K61" s="28"/>
      <c r="L61" s="29">
        <v>0</v>
      </c>
      <c r="M61" s="30"/>
      <c r="N61" s="31">
        <v>13</v>
      </c>
      <c r="O61" s="29">
        <v>0</v>
      </c>
      <c r="P61" s="28">
        <f t="shared" si="7"/>
        <v>0</v>
      </c>
      <c r="Q61" s="29">
        <v>0</v>
      </c>
      <c r="R61" s="30">
        <f t="shared" si="0"/>
        <v>0</v>
      </c>
      <c r="S61" s="31">
        <v>0</v>
      </c>
      <c r="T61" s="29">
        <v>0</v>
      </c>
      <c r="U61" s="28"/>
      <c r="V61" s="29">
        <v>0</v>
      </c>
      <c r="W61" s="30"/>
      <c r="X61" s="4"/>
    </row>
    <row r="62" spans="1:25" ht="48" thickBot="1" x14ac:dyDescent="0.35">
      <c r="A62" s="9">
        <v>59</v>
      </c>
      <c r="B62" s="9" t="s">
        <v>98</v>
      </c>
      <c r="C62" s="12" t="s">
        <v>65</v>
      </c>
      <c r="D62" s="24">
        <v>0</v>
      </c>
      <c r="E62" s="25">
        <v>0</v>
      </c>
      <c r="F62" s="26"/>
      <c r="G62" s="25">
        <v>0</v>
      </c>
      <c r="H62" s="27"/>
      <c r="I62" s="24">
        <v>0</v>
      </c>
      <c r="J62" s="29">
        <v>0</v>
      </c>
      <c r="K62" s="28"/>
      <c r="L62" s="29">
        <v>0</v>
      </c>
      <c r="M62" s="30"/>
      <c r="N62" s="31">
        <v>0</v>
      </c>
      <c r="O62" s="29">
        <v>0</v>
      </c>
      <c r="P62" s="28"/>
      <c r="Q62" s="29">
        <v>0</v>
      </c>
      <c r="R62" s="30"/>
      <c r="S62" s="31">
        <v>0</v>
      </c>
      <c r="T62" s="29">
        <v>0</v>
      </c>
      <c r="U62" s="28"/>
      <c r="V62" s="29">
        <v>0</v>
      </c>
      <c r="W62" s="30"/>
    </row>
    <row r="63" spans="1:25" ht="95.25" thickBot="1" x14ac:dyDescent="0.35">
      <c r="A63" s="10">
        <v>60</v>
      </c>
      <c r="B63" s="10" t="s">
        <v>100</v>
      </c>
      <c r="C63" s="11" t="s">
        <v>66</v>
      </c>
      <c r="D63" s="20">
        <v>4</v>
      </c>
      <c r="E63" s="21">
        <v>4</v>
      </c>
      <c r="F63" s="22">
        <f t="shared" si="3"/>
        <v>100</v>
      </c>
      <c r="G63" s="21">
        <v>0</v>
      </c>
      <c r="H63" s="23">
        <f t="shared" si="4"/>
        <v>0</v>
      </c>
      <c r="I63" s="20">
        <v>3</v>
      </c>
      <c r="J63" s="21">
        <v>0</v>
      </c>
      <c r="K63" s="22">
        <f t="shared" si="5"/>
        <v>0</v>
      </c>
      <c r="L63" s="21">
        <v>3</v>
      </c>
      <c r="M63" s="23">
        <f t="shared" si="6"/>
        <v>100</v>
      </c>
      <c r="N63" s="20">
        <v>7</v>
      </c>
      <c r="O63" s="21">
        <v>7</v>
      </c>
      <c r="P63" s="22">
        <f t="shared" si="7"/>
        <v>100</v>
      </c>
      <c r="Q63" s="21">
        <v>0</v>
      </c>
      <c r="R63" s="23">
        <f t="shared" si="0"/>
        <v>0</v>
      </c>
      <c r="S63" s="20">
        <v>15</v>
      </c>
      <c r="T63" s="21">
        <v>13</v>
      </c>
      <c r="U63" s="22">
        <f t="shared" si="1"/>
        <v>86.666666666666671</v>
      </c>
      <c r="V63" s="21">
        <v>0</v>
      </c>
      <c r="W63" s="23">
        <f t="shared" si="2"/>
        <v>0</v>
      </c>
    </row>
    <row r="64" spans="1:25" ht="32.25" thickBot="1" x14ac:dyDescent="0.35">
      <c r="A64" s="9">
        <v>61</v>
      </c>
      <c r="B64" s="9" t="s">
        <v>100</v>
      </c>
      <c r="C64" s="12" t="s">
        <v>67</v>
      </c>
      <c r="D64" s="24">
        <v>16</v>
      </c>
      <c r="E64" s="25">
        <v>0</v>
      </c>
      <c r="F64" s="26">
        <f t="shared" si="3"/>
        <v>0</v>
      </c>
      <c r="G64" s="25">
        <v>0</v>
      </c>
      <c r="H64" s="27">
        <f t="shared" si="4"/>
        <v>0</v>
      </c>
      <c r="I64" s="31">
        <v>23</v>
      </c>
      <c r="J64" s="29">
        <v>0</v>
      </c>
      <c r="K64" s="28">
        <f t="shared" si="5"/>
        <v>0</v>
      </c>
      <c r="L64" s="29">
        <v>0</v>
      </c>
      <c r="M64" s="30">
        <f t="shared" si="6"/>
        <v>0</v>
      </c>
      <c r="N64" s="31">
        <v>17</v>
      </c>
      <c r="O64" s="29">
        <v>0</v>
      </c>
      <c r="P64" s="28">
        <f t="shared" si="7"/>
        <v>0</v>
      </c>
      <c r="Q64" s="29">
        <v>0</v>
      </c>
      <c r="R64" s="30">
        <f t="shared" si="0"/>
        <v>0</v>
      </c>
      <c r="S64" s="31">
        <v>13</v>
      </c>
      <c r="T64" s="29">
        <v>0</v>
      </c>
      <c r="U64" s="28">
        <f t="shared" si="1"/>
        <v>0</v>
      </c>
      <c r="V64" s="29">
        <v>0</v>
      </c>
      <c r="W64" s="30">
        <f t="shared" si="2"/>
        <v>0</v>
      </c>
      <c r="X64" s="4"/>
      <c r="Y64" s="4"/>
    </row>
    <row r="65" spans="1:25" ht="63.6" customHeight="1" thickBot="1" x14ac:dyDescent="0.35">
      <c r="A65" s="9">
        <v>62</v>
      </c>
      <c r="B65" s="9" t="s">
        <v>100</v>
      </c>
      <c r="C65" s="12" t="s">
        <v>68</v>
      </c>
      <c r="D65" s="24">
        <v>1</v>
      </c>
      <c r="E65" s="25">
        <v>0</v>
      </c>
      <c r="F65" s="26">
        <f t="shared" si="3"/>
        <v>0</v>
      </c>
      <c r="G65" s="25">
        <v>0</v>
      </c>
      <c r="H65" s="27">
        <f t="shared" si="4"/>
        <v>0</v>
      </c>
      <c r="I65" s="31">
        <v>4</v>
      </c>
      <c r="J65" s="29">
        <v>0</v>
      </c>
      <c r="K65" s="28">
        <f t="shared" si="5"/>
        <v>0</v>
      </c>
      <c r="L65" s="29">
        <v>0</v>
      </c>
      <c r="M65" s="30">
        <f t="shared" si="6"/>
        <v>0</v>
      </c>
      <c r="N65" s="31">
        <v>0</v>
      </c>
      <c r="O65" s="29">
        <v>0</v>
      </c>
      <c r="P65" s="28"/>
      <c r="Q65" s="29">
        <v>0</v>
      </c>
      <c r="R65" s="30"/>
      <c r="S65" s="31">
        <v>17</v>
      </c>
      <c r="T65" s="29">
        <v>0</v>
      </c>
      <c r="U65" s="28">
        <f t="shared" si="1"/>
        <v>0</v>
      </c>
      <c r="V65" s="29">
        <v>0</v>
      </c>
      <c r="W65" s="30">
        <f t="shared" si="2"/>
        <v>0</v>
      </c>
      <c r="X65" s="4"/>
      <c r="Y65" s="4"/>
    </row>
    <row r="66" spans="1:25" ht="77.099999999999994" customHeight="1" thickBot="1" x14ac:dyDescent="0.35">
      <c r="A66" s="9">
        <v>63</v>
      </c>
      <c r="B66" s="9" t="s">
        <v>100</v>
      </c>
      <c r="C66" s="12" t="s">
        <v>69</v>
      </c>
      <c r="D66" s="24">
        <v>0</v>
      </c>
      <c r="E66" s="25">
        <v>0</v>
      </c>
      <c r="F66" s="26"/>
      <c r="G66" s="25">
        <v>0</v>
      </c>
      <c r="H66" s="27"/>
      <c r="I66" s="31">
        <v>0</v>
      </c>
      <c r="J66" s="29">
        <v>0</v>
      </c>
      <c r="K66" s="28"/>
      <c r="L66" s="29">
        <v>0</v>
      </c>
      <c r="M66" s="30"/>
      <c r="N66" s="31">
        <v>0</v>
      </c>
      <c r="O66" s="29">
        <v>0</v>
      </c>
      <c r="P66" s="28"/>
      <c r="Q66" s="29">
        <v>0</v>
      </c>
      <c r="R66" s="30"/>
      <c r="S66" s="31">
        <v>0</v>
      </c>
      <c r="T66" s="29">
        <v>0</v>
      </c>
      <c r="U66" s="28"/>
      <c r="V66" s="29">
        <v>0</v>
      </c>
      <c r="W66" s="30"/>
      <c r="X66" s="4"/>
      <c r="Y66" s="4"/>
    </row>
    <row r="67" spans="1:25" ht="32.25" thickBot="1" x14ac:dyDescent="0.35">
      <c r="A67" s="9">
        <v>64</v>
      </c>
      <c r="B67" s="9" t="s">
        <v>100</v>
      </c>
      <c r="C67" s="12" t="s">
        <v>70</v>
      </c>
      <c r="D67" s="24">
        <v>4</v>
      </c>
      <c r="E67" s="25">
        <v>0</v>
      </c>
      <c r="F67" s="26">
        <f t="shared" si="3"/>
        <v>0</v>
      </c>
      <c r="G67" s="25">
        <v>0</v>
      </c>
      <c r="H67" s="27">
        <f t="shared" si="4"/>
        <v>0</v>
      </c>
      <c r="I67" s="31">
        <v>4</v>
      </c>
      <c r="J67" s="29">
        <v>0</v>
      </c>
      <c r="K67" s="28">
        <f t="shared" si="5"/>
        <v>0</v>
      </c>
      <c r="L67" s="29">
        <v>0</v>
      </c>
      <c r="M67" s="30">
        <f t="shared" si="6"/>
        <v>0</v>
      </c>
      <c r="N67" s="31">
        <v>10</v>
      </c>
      <c r="O67" s="29">
        <v>0</v>
      </c>
      <c r="P67" s="28">
        <f t="shared" si="7"/>
        <v>0</v>
      </c>
      <c r="Q67" s="29">
        <v>0</v>
      </c>
      <c r="R67" s="30">
        <f t="shared" si="0"/>
        <v>0</v>
      </c>
      <c r="S67" s="31">
        <v>28</v>
      </c>
      <c r="T67" s="29">
        <v>0</v>
      </c>
      <c r="U67" s="28">
        <f t="shared" si="1"/>
        <v>0</v>
      </c>
      <c r="V67" s="29">
        <v>0</v>
      </c>
      <c r="W67" s="30">
        <f t="shared" si="2"/>
        <v>0</v>
      </c>
      <c r="X67" s="4"/>
      <c r="Y67" s="4"/>
    </row>
    <row r="68" spans="1:25" ht="48" thickBot="1" x14ac:dyDescent="0.35">
      <c r="A68" s="9">
        <v>65</v>
      </c>
      <c r="B68" s="9" t="s">
        <v>100</v>
      </c>
      <c r="C68" s="12" t="s">
        <v>71</v>
      </c>
      <c r="D68" s="24">
        <v>0</v>
      </c>
      <c r="E68" s="25">
        <v>0</v>
      </c>
      <c r="F68" s="26"/>
      <c r="G68" s="25">
        <v>0</v>
      </c>
      <c r="H68" s="27"/>
      <c r="I68" s="31">
        <v>0</v>
      </c>
      <c r="J68" s="29">
        <v>0</v>
      </c>
      <c r="K68" s="28"/>
      <c r="L68" s="29">
        <v>0</v>
      </c>
      <c r="M68" s="30"/>
      <c r="N68" s="31">
        <v>0</v>
      </c>
      <c r="O68" s="29">
        <v>0</v>
      </c>
      <c r="P68" s="28"/>
      <c r="Q68" s="29">
        <v>0</v>
      </c>
      <c r="R68" s="30"/>
      <c r="S68" s="31">
        <v>3</v>
      </c>
      <c r="T68" s="29">
        <v>0</v>
      </c>
      <c r="U68" s="28">
        <f t="shared" ref="U68:U86" si="8">T68*100/S68</f>
        <v>0</v>
      </c>
      <c r="V68" s="29">
        <v>0</v>
      </c>
      <c r="W68" s="30">
        <f t="shared" ref="W68:W86" si="9">V68*100/S68</f>
        <v>0</v>
      </c>
      <c r="X68" s="4"/>
      <c r="Y68" s="4"/>
    </row>
    <row r="69" spans="1:25" ht="111" thickBot="1" x14ac:dyDescent="0.35">
      <c r="A69" s="9">
        <v>66</v>
      </c>
      <c r="B69" s="9" t="s">
        <v>100</v>
      </c>
      <c r="C69" s="12" t="s">
        <v>72</v>
      </c>
      <c r="D69" s="24">
        <v>0</v>
      </c>
      <c r="E69" s="25">
        <v>0</v>
      </c>
      <c r="F69" s="26"/>
      <c r="G69" s="25">
        <v>0</v>
      </c>
      <c r="H69" s="30"/>
      <c r="I69" s="31">
        <v>0</v>
      </c>
      <c r="J69" s="29">
        <v>0</v>
      </c>
      <c r="K69" s="28"/>
      <c r="L69" s="29">
        <v>0</v>
      </c>
      <c r="M69" s="30"/>
      <c r="N69" s="31">
        <v>0</v>
      </c>
      <c r="O69" s="29">
        <v>0</v>
      </c>
      <c r="P69" s="28"/>
      <c r="Q69" s="29">
        <v>0</v>
      </c>
      <c r="R69" s="30"/>
      <c r="S69" s="31">
        <v>0</v>
      </c>
      <c r="T69" s="29">
        <v>0</v>
      </c>
      <c r="U69" s="28"/>
      <c r="V69" s="29">
        <v>0</v>
      </c>
      <c r="W69" s="30"/>
      <c r="X69" s="4"/>
      <c r="Y69" s="4"/>
    </row>
    <row r="70" spans="1:25" ht="268.5" thickBot="1" x14ac:dyDescent="0.35">
      <c r="A70" s="9">
        <v>67</v>
      </c>
      <c r="B70" s="9" t="s">
        <v>100</v>
      </c>
      <c r="C70" s="12" t="s">
        <v>73</v>
      </c>
      <c r="D70" s="24">
        <v>0</v>
      </c>
      <c r="E70" s="25">
        <v>0</v>
      </c>
      <c r="F70" s="26"/>
      <c r="G70" s="25">
        <v>0</v>
      </c>
      <c r="H70" s="30"/>
      <c r="I70" s="31">
        <v>3</v>
      </c>
      <c r="J70" s="29">
        <v>0</v>
      </c>
      <c r="K70" s="28">
        <f t="shared" ref="K70:K86" si="10">J70*100/I70</f>
        <v>0</v>
      </c>
      <c r="L70" s="29">
        <v>0</v>
      </c>
      <c r="M70" s="30">
        <f t="shared" ref="M70:M86" si="11">L70*100/I70</f>
        <v>0</v>
      </c>
      <c r="N70" s="31">
        <v>3</v>
      </c>
      <c r="O70" s="29">
        <v>0</v>
      </c>
      <c r="P70" s="28">
        <f t="shared" ref="P70:P86" si="12">O70*100/N70</f>
        <v>0</v>
      </c>
      <c r="Q70" s="29">
        <v>0</v>
      </c>
      <c r="R70" s="30">
        <f t="shared" ref="R70:R86" si="13">Q70*100/N70</f>
        <v>0</v>
      </c>
      <c r="S70" s="31">
        <v>0</v>
      </c>
      <c r="T70" s="29">
        <v>0</v>
      </c>
      <c r="U70" s="28"/>
      <c r="V70" s="29">
        <v>0</v>
      </c>
      <c r="W70" s="30"/>
      <c r="X70" s="4"/>
      <c r="Y70" s="4"/>
    </row>
    <row r="71" spans="1:25" ht="32.25" thickBot="1" x14ac:dyDescent="0.35">
      <c r="A71" s="9">
        <v>68</v>
      </c>
      <c r="B71" s="9" t="s">
        <v>100</v>
      </c>
      <c r="C71" s="12" t="s">
        <v>74</v>
      </c>
      <c r="D71" s="24">
        <v>10</v>
      </c>
      <c r="E71" s="25">
        <v>0</v>
      </c>
      <c r="F71" s="26">
        <f t="shared" ref="F71:F86" si="14">E71*100/D71</f>
        <v>0</v>
      </c>
      <c r="G71" s="25">
        <v>0</v>
      </c>
      <c r="H71" s="30">
        <f t="shared" ref="H71:H86" si="15">G71*100/D71</f>
        <v>0</v>
      </c>
      <c r="I71" s="31">
        <v>8</v>
      </c>
      <c r="J71" s="29">
        <v>0</v>
      </c>
      <c r="K71" s="28">
        <f t="shared" si="10"/>
        <v>0</v>
      </c>
      <c r="L71" s="29">
        <v>0</v>
      </c>
      <c r="M71" s="30">
        <f t="shared" si="11"/>
        <v>0</v>
      </c>
      <c r="N71" s="31">
        <v>28</v>
      </c>
      <c r="O71" s="29">
        <v>0</v>
      </c>
      <c r="P71" s="28">
        <f t="shared" si="12"/>
        <v>0</v>
      </c>
      <c r="Q71" s="29">
        <v>0</v>
      </c>
      <c r="R71" s="30">
        <f t="shared" si="13"/>
        <v>0</v>
      </c>
      <c r="S71" s="31">
        <v>13</v>
      </c>
      <c r="T71" s="25">
        <v>0</v>
      </c>
      <c r="U71" s="28">
        <f t="shared" si="8"/>
        <v>0</v>
      </c>
      <c r="V71" s="29">
        <v>0</v>
      </c>
      <c r="W71" s="30">
        <f t="shared" si="9"/>
        <v>0</v>
      </c>
    </row>
    <row r="72" spans="1:25" ht="65.099999999999994" customHeight="1" thickBot="1" x14ac:dyDescent="0.35">
      <c r="A72" s="10">
        <v>69</v>
      </c>
      <c r="B72" s="10" t="s">
        <v>100</v>
      </c>
      <c r="C72" s="11" t="s">
        <v>75</v>
      </c>
      <c r="D72" s="20">
        <v>42</v>
      </c>
      <c r="E72" s="21">
        <v>37</v>
      </c>
      <c r="F72" s="22">
        <f t="shared" si="14"/>
        <v>88.095238095238102</v>
      </c>
      <c r="G72" s="21">
        <v>0</v>
      </c>
      <c r="H72" s="23">
        <f t="shared" si="15"/>
        <v>0</v>
      </c>
      <c r="I72" s="20">
        <v>127</v>
      </c>
      <c r="J72" s="21">
        <v>127</v>
      </c>
      <c r="K72" s="22">
        <f t="shared" si="10"/>
        <v>100</v>
      </c>
      <c r="L72" s="21">
        <v>0</v>
      </c>
      <c r="M72" s="23">
        <f t="shared" si="11"/>
        <v>0</v>
      </c>
      <c r="N72" s="20">
        <v>42</v>
      </c>
      <c r="O72" s="21">
        <v>42</v>
      </c>
      <c r="P72" s="22">
        <f t="shared" si="12"/>
        <v>100</v>
      </c>
      <c r="Q72" s="21">
        <v>0</v>
      </c>
      <c r="R72" s="23">
        <f t="shared" si="13"/>
        <v>0</v>
      </c>
      <c r="S72" s="20">
        <v>2</v>
      </c>
      <c r="T72" s="21">
        <v>0</v>
      </c>
      <c r="U72" s="22">
        <f t="shared" si="8"/>
        <v>0</v>
      </c>
      <c r="V72" s="21">
        <v>0</v>
      </c>
      <c r="W72" s="23">
        <f t="shared" si="9"/>
        <v>0</v>
      </c>
    </row>
    <row r="73" spans="1:25" ht="79.5" thickBot="1" x14ac:dyDescent="0.35">
      <c r="A73" s="10">
        <v>70</v>
      </c>
      <c r="B73" s="10" t="s">
        <v>102</v>
      </c>
      <c r="C73" s="11" t="s">
        <v>76</v>
      </c>
      <c r="D73" s="20">
        <v>22</v>
      </c>
      <c r="E73" s="21">
        <v>0</v>
      </c>
      <c r="F73" s="22">
        <f t="shared" si="14"/>
        <v>0</v>
      </c>
      <c r="G73" s="21">
        <v>1</v>
      </c>
      <c r="H73" s="23">
        <f t="shared" si="15"/>
        <v>4.5454545454545459</v>
      </c>
      <c r="I73" s="32"/>
      <c r="J73" s="33"/>
      <c r="K73" s="33"/>
      <c r="L73" s="33"/>
      <c r="M73" s="34"/>
      <c r="N73" s="32"/>
      <c r="O73" s="33"/>
      <c r="P73" s="33"/>
      <c r="Q73" s="33"/>
      <c r="R73" s="34"/>
      <c r="S73" s="32">
        <v>68</v>
      </c>
      <c r="T73" s="33">
        <v>0</v>
      </c>
      <c r="U73" s="33">
        <v>12</v>
      </c>
      <c r="V73" s="33">
        <v>12</v>
      </c>
      <c r="W73" s="34">
        <v>12</v>
      </c>
    </row>
    <row r="74" spans="1:25" ht="79.5" thickBot="1" x14ac:dyDescent="0.35">
      <c r="A74" s="10">
        <v>71</v>
      </c>
      <c r="B74" s="10" t="s">
        <v>102</v>
      </c>
      <c r="C74" s="11" t="s">
        <v>105</v>
      </c>
      <c r="D74" s="20">
        <v>36</v>
      </c>
      <c r="E74" s="21">
        <v>2</v>
      </c>
      <c r="F74" s="22">
        <f t="shared" si="14"/>
        <v>5.5555555555555554</v>
      </c>
      <c r="G74" s="21">
        <v>1</v>
      </c>
      <c r="H74" s="23">
        <f t="shared" si="15"/>
        <v>2.7777777777777777</v>
      </c>
      <c r="I74" s="20">
        <v>81</v>
      </c>
      <c r="J74" s="21">
        <v>4</v>
      </c>
      <c r="K74" s="22">
        <f t="shared" si="10"/>
        <v>4.9382716049382713</v>
      </c>
      <c r="L74" s="21">
        <v>6</v>
      </c>
      <c r="M74" s="23">
        <f t="shared" si="11"/>
        <v>7.4074074074074074</v>
      </c>
      <c r="N74" s="20">
        <v>50</v>
      </c>
      <c r="O74" s="21">
        <v>6</v>
      </c>
      <c r="P74" s="22">
        <f t="shared" si="12"/>
        <v>12</v>
      </c>
      <c r="Q74" s="21">
        <v>3</v>
      </c>
      <c r="R74" s="23">
        <f t="shared" si="13"/>
        <v>6</v>
      </c>
      <c r="S74" s="20">
        <v>248</v>
      </c>
      <c r="T74" s="21">
        <v>0</v>
      </c>
      <c r="U74" s="22">
        <f t="shared" si="8"/>
        <v>0</v>
      </c>
      <c r="V74" s="21">
        <v>124</v>
      </c>
      <c r="W74" s="23">
        <f t="shared" si="9"/>
        <v>50</v>
      </c>
    </row>
    <row r="75" spans="1:25" ht="48" thickBot="1" x14ac:dyDescent="0.35">
      <c r="A75" s="10">
        <v>72</v>
      </c>
      <c r="B75" s="10" t="s">
        <v>102</v>
      </c>
      <c r="C75" s="11" t="s">
        <v>77</v>
      </c>
      <c r="D75" s="20">
        <v>30</v>
      </c>
      <c r="E75" s="21">
        <v>2</v>
      </c>
      <c r="F75" s="22">
        <f t="shared" si="14"/>
        <v>6.666666666666667</v>
      </c>
      <c r="G75" s="21">
        <v>2</v>
      </c>
      <c r="H75" s="23">
        <f t="shared" si="15"/>
        <v>6.666666666666667</v>
      </c>
      <c r="I75" s="20">
        <v>38</v>
      </c>
      <c r="J75" s="21">
        <v>4</v>
      </c>
      <c r="K75" s="22">
        <f t="shared" si="10"/>
        <v>10.526315789473685</v>
      </c>
      <c r="L75" s="21">
        <v>2</v>
      </c>
      <c r="M75" s="23">
        <f t="shared" si="11"/>
        <v>5.2631578947368425</v>
      </c>
      <c r="N75" s="20">
        <v>44</v>
      </c>
      <c r="O75" s="21">
        <v>8</v>
      </c>
      <c r="P75" s="22">
        <f t="shared" si="12"/>
        <v>18.181818181818183</v>
      </c>
      <c r="Q75" s="21">
        <v>2</v>
      </c>
      <c r="R75" s="23">
        <f t="shared" si="13"/>
        <v>4.5454545454545459</v>
      </c>
      <c r="S75" s="20">
        <v>139</v>
      </c>
      <c r="T75" s="21">
        <v>4</v>
      </c>
      <c r="U75" s="22">
        <f t="shared" si="8"/>
        <v>2.8776978417266186</v>
      </c>
      <c r="V75" s="21">
        <v>36</v>
      </c>
      <c r="W75" s="23">
        <f t="shared" si="9"/>
        <v>25.899280575539567</v>
      </c>
    </row>
    <row r="76" spans="1:25" ht="48" thickBot="1" x14ac:dyDescent="0.35">
      <c r="A76" s="9">
        <v>73</v>
      </c>
      <c r="B76" s="9" t="s">
        <v>103</v>
      </c>
      <c r="C76" s="12" t="s">
        <v>78</v>
      </c>
      <c r="D76" s="24">
        <v>41</v>
      </c>
      <c r="E76" s="25">
        <v>0</v>
      </c>
      <c r="F76" s="26">
        <f t="shared" si="14"/>
        <v>0</v>
      </c>
      <c r="G76" s="25">
        <v>27</v>
      </c>
      <c r="H76" s="27">
        <f t="shared" si="15"/>
        <v>65.853658536585371</v>
      </c>
      <c r="I76" s="24">
        <v>10</v>
      </c>
      <c r="J76" s="29">
        <v>0</v>
      </c>
      <c r="K76" s="28">
        <f t="shared" si="10"/>
        <v>0</v>
      </c>
      <c r="L76" s="29">
        <v>0</v>
      </c>
      <c r="M76" s="30">
        <f t="shared" si="11"/>
        <v>0</v>
      </c>
      <c r="N76" s="31">
        <v>16</v>
      </c>
      <c r="O76" s="29">
        <v>0</v>
      </c>
      <c r="P76" s="28">
        <f t="shared" si="12"/>
        <v>0</v>
      </c>
      <c r="Q76" s="29">
        <v>0</v>
      </c>
      <c r="R76" s="30">
        <f t="shared" si="13"/>
        <v>0</v>
      </c>
      <c r="S76" s="31">
        <v>10</v>
      </c>
      <c r="T76" s="29">
        <v>0</v>
      </c>
      <c r="U76" s="28">
        <f t="shared" si="8"/>
        <v>0</v>
      </c>
      <c r="V76" s="29">
        <v>10</v>
      </c>
      <c r="W76" s="30">
        <f t="shared" si="9"/>
        <v>100</v>
      </c>
      <c r="X76" s="4"/>
      <c r="Y76" s="4"/>
    </row>
    <row r="77" spans="1:25" ht="32.25" thickBot="1" x14ac:dyDescent="0.35">
      <c r="A77" s="9">
        <v>74</v>
      </c>
      <c r="B77" s="9" t="s">
        <v>103</v>
      </c>
      <c r="C77" s="12" t="s">
        <v>79</v>
      </c>
      <c r="D77" s="24">
        <v>0</v>
      </c>
      <c r="E77" s="25">
        <v>0</v>
      </c>
      <c r="F77" s="26"/>
      <c r="G77" s="25">
        <v>0</v>
      </c>
      <c r="H77" s="27"/>
      <c r="I77" s="24">
        <v>0</v>
      </c>
      <c r="J77" s="29">
        <v>0</v>
      </c>
      <c r="K77" s="28"/>
      <c r="L77" s="29">
        <v>0</v>
      </c>
      <c r="M77" s="30"/>
      <c r="N77" s="31">
        <v>0</v>
      </c>
      <c r="O77" s="29">
        <v>0</v>
      </c>
      <c r="P77" s="28"/>
      <c r="Q77" s="29">
        <v>0</v>
      </c>
      <c r="R77" s="30"/>
      <c r="S77" s="31">
        <v>0</v>
      </c>
      <c r="T77" s="29">
        <v>0</v>
      </c>
      <c r="U77" s="28"/>
      <c r="V77" s="29">
        <v>0</v>
      </c>
      <c r="W77" s="30"/>
      <c r="X77" s="4"/>
      <c r="Y77" s="4"/>
    </row>
    <row r="78" spans="1:25" ht="111" thickBot="1" x14ac:dyDescent="0.35">
      <c r="A78" s="9">
        <v>75</v>
      </c>
      <c r="B78" s="9" t="s">
        <v>103</v>
      </c>
      <c r="C78" s="12" t="s">
        <v>80</v>
      </c>
      <c r="D78" s="24">
        <v>4047</v>
      </c>
      <c r="E78" s="25">
        <v>0</v>
      </c>
      <c r="F78" s="26">
        <f t="shared" si="14"/>
        <v>0</v>
      </c>
      <c r="G78" s="25">
        <v>3223</v>
      </c>
      <c r="H78" s="27">
        <f t="shared" si="15"/>
        <v>79.639238942426488</v>
      </c>
      <c r="I78" s="24">
        <v>2403</v>
      </c>
      <c r="J78" s="29">
        <v>0</v>
      </c>
      <c r="K78" s="28">
        <f t="shared" si="10"/>
        <v>0</v>
      </c>
      <c r="L78" s="29">
        <v>2267</v>
      </c>
      <c r="M78" s="30">
        <f t="shared" si="11"/>
        <v>94.340407823553889</v>
      </c>
      <c r="N78" s="31">
        <v>3801</v>
      </c>
      <c r="O78" s="29">
        <v>0</v>
      </c>
      <c r="P78" s="28">
        <f t="shared" si="12"/>
        <v>0</v>
      </c>
      <c r="Q78" s="29">
        <v>3542</v>
      </c>
      <c r="R78" s="30">
        <f t="shared" si="13"/>
        <v>93.186003683241253</v>
      </c>
      <c r="S78" s="31">
        <v>3330</v>
      </c>
      <c r="T78" s="29">
        <v>0</v>
      </c>
      <c r="U78" s="28">
        <f t="shared" si="8"/>
        <v>0</v>
      </c>
      <c r="V78" s="29">
        <v>3330</v>
      </c>
      <c r="W78" s="30">
        <f t="shared" si="9"/>
        <v>100</v>
      </c>
      <c r="X78" s="4"/>
      <c r="Y78" s="4"/>
    </row>
    <row r="79" spans="1:25" ht="63.75" thickBot="1" x14ac:dyDescent="0.35">
      <c r="A79" s="9">
        <v>76</v>
      </c>
      <c r="B79" s="9" t="s">
        <v>103</v>
      </c>
      <c r="C79" s="12" t="s">
        <v>81</v>
      </c>
      <c r="D79" s="24">
        <v>0</v>
      </c>
      <c r="E79" s="25">
        <v>0</v>
      </c>
      <c r="F79" s="26"/>
      <c r="G79" s="25">
        <v>0</v>
      </c>
      <c r="H79" s="27"/>
      <c r="I79" s="24">
        <v>0</v>
      </c>
      <c r="J79" s="29">
        <v>0</v>
      </c>
      <c r="K79" s="28"/>
      <c r="L79" s="29">
        <v>0</v>
      </c>
      <c r="M79" s="30"/>
      <c r="N79" s="31">
        <v>0</v>
      </c>
      <c r="O79" s="29">
        <v>0</v>
      </c>
      <c r="P79" s="28"/>
      <c r="Q79" s="29">
        <v>0</v>
      </c>
      <c r="R79" s="30"/>
      <c r="S79" s="31">
        <v>0</v>
      </c>
      <c r="T79" s="29">
        <v>0</v>
      </c>
      <c r="U79" s="28"/>
      <c r="V79" s="29">
        <v>0</v>
      </c>
      <c r="W79" s="30"/>
      <c r="X79" s="4"/>
      <c r="Y79" s="4"/>
    </row>
    <row r="80" spans="1:25" ht="104.65" customHeight="1" thickBot="1" x14ac:dyDescent="0.35">
      <c r="A80" s="9">
        <v>77</v>
      </c>
      <c r="B80" s="9" t="s">
        <v>104</v>
      </c>
      <c r="C80" s="12" t="s">
        <v>82</v>
      </c>
      <c r="D80" s="24">
        <v>83</v>
      </c>
      <c r="E80" s="25">
        <v>0</v>
      </c>
      <c r="F80" s="26">
        <f t="shared" si="14"/>
        <v>0</v>
      </c>
      <c r="G80" s="25">
        <v>83</v>
      </c>
      <c r="H80" s="27">
        <f t="shared" si="15"/>
        <v>100</v>
      </c>
      <c r="I80" s="24">
        <v>56</v>
      </c>
      <c r="J80" s="29">
        <v>0</v>
      </c>
      <c r="K80" s="28">
        <f t="shared" si="10"/>
        <v>0</v>
      </c>
      <c r="L80" s="29">
        <v>0</v>
      </c>
      <c r="M80" s="30">
        <f t="shared" si="11"/>
        <v>0</v>
      </c>
      <c r="N80" s="31">
        <v>259</v>
      </c>
      <c r="O80" s="29">
        <v>0</v>
      </c>
      <c r="P80" s="28">
        <f t="shared" si="12"/>
        <v>0</v>
      </c>
      <c r="Q80" s="29">
        <v>0</v>
      </c>
      <c r="R80" s="30">
        <f t="shared" si="13"/>
        <v>0</v>
      </c>
      <c r="S80" s="31">
        <v>172</v>
      </c>
      <c r="T80" s="29">
        <v>0</v>
      </c>
      <c r="U80" s="28">
        <f t="shared" si="8"/>
        <v>0</v>
      </c>
      <c r="V80" s="29">
        <v>172</v>
      </c>
      <c r="W80" s="30">
        <f t="shared" si="9"/>
        <v>100</v>
      </c>
      <c r="X80" s="4"/>
      <c r="Y80" s="4"/>
    </row>
    <row r="81" spans="1:25" ht="135" customHeight="1" thickBot="1" x14ac:dyDescent="0.35">
      <c r="A81" s="9">
        <v>78</v>
      </c>
      <c r="B81" s="9" t="s">
        <v>104</v>
      </c>
      <c r="C81" s="12" t="s">
        <v>83</v>
      </c>
      <c r="D81" s="24">
        <v>0</v>
      </c>
      <c r="E81" s="25">
        <v>0</v>
      </c>
      <c r="F81" s="26"/>
      <c r="G81" s="25">
        <v>0</v>
      </c>
      <c r="H81" s="27"/>
      <c r="I81" s="24">
        <v>0</v>
      </c>
      <c r="J81" s="29">
        <v>0</v>
      </c>
      <c r="K81" s="28"/>
      <c r="L81" s="29">
        <v>0</v>
      </c>
      <c r="M81" s="30"/>
      <c r="N81" s="31">
        <v>0</v>
      </c>
      <c r="O81" s="29">
        <v>0</v>
      </c>
      <c r="P81" s="28"/>
      <c r="Q81" s="29">
        <v>0</v>
      </c>
      <c r="R81" s="30"/>
      <c r="S81" s="31">
        <v>0</v>
      </c>
      <c r="T81" s="29">
        <v>0</v>
      </c>
      <c r="U81" s="28"/>
      <c r="V81" s="29">
        <v>0</v>
      </c>
      <c r="W81" s="30"/>
      <c r="X81" s="4"/>
      <c r="Y81" s="4"/>
    </row>
    <row r="82" spans="1:25" ht="72.599999999999994" customHeight="1" thickBot="1" x14ac:dyDescent="0.35">
      <c r="A82" s="9">
        <v>79</v>
      </c>
      <c r="B82" s="9" t="s">
        <v>104</v>
      </c>
      <c r="C82" s="12" t="s">
        <v>84</v>
      </c>
      <c r="D82" s="24">
        <v>0</v>
      </c>
      <c r="E82" s="25">
        <v>0</v>
      </c>
      <c r="F82" s="26"/>
      <c r="G82" s="25">
        <v>0</v>
      </c>
      <c r="H82" s="27"/>
      <c r="I82" s="24">
        <v>10</v>
      </c>
      <c r="J82" s="29">
        <v>0</v>
      </c>
      <c r="K82" s="28">
        <f t="shared" si="10"/>
        <v>0</v>
      </c>
      <c r="L82" s="29">
        <v>0</v>
      </c>
      <c r="M82" s="30">
        <f t="shared" si="11"/>
        <v>0</v>
      </c>
      <c r="N82" s="31">
        <v>350</v>
      </c>
      <c r="O82" s="29">
        <v>0</v>
      </c>
      <c r="P82" s="28">
        <f t="shared" si="12"/>
        <v>0</v>
      </c>
      <c r="Q82" s="29">
        <v>0</v>
      </c>
      <c r="R82" s="30">
        <f t="shared" si="13"/>
        <v>0</v>
      </c>
      <c r="S82" s="31">
        <v>0</v>
      </c>
      <c r="T82" s="29">
        <v>0</v>
      </c>
      <c r="U82" s="28"/>
      <c r="V82" s="29">
        <v>0</v>
      </c>
      <c r="W82" s="30"/>
      <c r="X82" s="4"/>
      <c r="Y82" s="4"/>
    </row>
    <row r="83" spans="1:25" ht="64.5" customHeight="1" thickBot="1" x14ac:dyDescent="0.35">
      <c r="A83" s="9">
        <v>80</v>
      </c>
      <c r="B83" s="9" t="s">
        <v>104</v>
      </c>
      <c r="C83" s="12" t="s">
        <v>85</v>
      </c>
      <c r="D83" s="24">
        <v>13375</v>
      </c>
      <c r="E83" s="25">
        <v>0</v>
      </c>
      <c r="F83" s="26">
        <f t="shared" si="14"/>
        <v>0</v>
      </c>
      <c r="G83" s="25">
        <v>13375</v>
      </c>
      <c r="H83" s="27">
        <f t="shared" si="15"/>
        <v>100</v>
      </c>
      <c r="I83" s="24">
        <v>3748</v>
      </c>
      <c r="J83" s="29">
        <v>0</v>
      </c>
      <c r="K83" s="28">
        <f t="shared" si="10"/>
        <v>0</v>
      </c>
      <c r="L83" s="29">
        <v>3748</v>
      </c>
      <c r="M83" s="30">
        <f t="shared" si="11"/>
        <v>100</v>
      </c>
      <c r="N83" s="31">
        <v>1098</v>
      </c>
      <c r="O83" s="29">
        <v>0</v>
      </c>
      <c r="P83" s="28">
        <f t="shared" si="12"/>
        <v>0</v>
      </c>
      <c r="Q83" s="29">
        <v>1098</v>
      </c>
      <c r="R83" s="30">
        <f t="shared" si="13"/>
        <v>100</v>
      </c>
      <c r="S83" s="31">
        <v>13375</v>
      </c>
      <c r="T83" s="29">
        <v>0</v>
      </c>
      <c r="U83" s="28">
        <f t="shared" si="8"/>
        <v>0</v>
      </c>
      <c r="V83" s="29">
        <v>13375</v>
      </c>
      <c r="W83" s="30">
        <f t="shared" si="9"/>
        <v>100</v>
      </c>
      <c r="X83" s="4"/>
      <c r="Y83" s="4"/>
    </row>
    <row r="84" spans="1:25" ht="32.25" thickBot="1" x14ac:dyDescent="0.35">
      <c r="A84" s="10">
        <v>81</v>
      </c>
      <c r="B84" s="10" t="s">
        <v>104</v>
      </c>
      <c r="C84" s="11" t="s">
        <v>86</v>
      </c>
      <c r="D84" s="20">
        <v>1126</v>
      </c>
      <c r="E84" s="21">
        <v>27</v>
      </c>
      <c r="F84" s="22">
        <f t="shared" si="14"/>
        <v>2.3978685612788633</v>
      </c>
      <c r="G84" s="21">
        <v>475</v>
      </c>
      <c r="H84" s="23">
        <f t="shared" si="15"/>
        <v>42.184724689165186</v>
      </c>
      <c r="I84" s="20">
        <v>110</v>
      </c>
      <c r="J84" s="21">
        <v>0</v>
      </c>
      <c r="K84" s="22">
        <f t="shared" si="10"/>
        <v>0</v>
      </c>
      <c r="L84" s="21">
        <v>0</v>
      </c>
      <c r="M84" s="23">
        <f t="shared" si="11"/>
        <v>0</v>
      </c>
      <c r="N84" s="20">
        <v>200</v>
      </c>
      <c r="O84" s="21">
        <v>0</v>
      </c>
      <c r="P84" s="22">
        <f t="shared" si="12"/>
        <v>0</v>
      </c>
      <c r="Q84" s="21">
        <v>0</v>
      </c>
      <c r="R84" s="23">
        <f t="shared" si="13"/>
        <v>0</v>
      </c>
      <c r="S84" s="20">
        <v>0</v>
      </c>
      <c r="T84" s="21">
        <v>0</v>
      </c>
      <c r="U84" s="22"/>
      <c r="V84" s="21">
        <v>0</v>
      </c>
      <c r="W84" s="23"/>
    </row>
    <row r="85" spans="1:25" ht="37.5" customHeight="1" thickBot="1" x14ac:dyDescent="0.35">
      <c r="A85" s="10">
        <v>82</v>
      </c>
      <c r="B85" s="10" t="s">
        <v>104</v>
      </c>
      <c r="C85" s="11" t="s">
        <v>87</v>
      </c>
      <c r="D85" s="20">
        <v>0</v>
      </c>
      <c r="E85" s="21">
        <v>0</v>
      </c>
      <c r="F85" s="22"/>
      <c r="G85" s="21">
        <v>0</v>
      </c>
      <c r="H85" s="23"/>
      <c r="I85" s="20">
        <v>98</v>
      </c>
      <c r="J85" s="21">
        <v>98</v>
      </c>
      <c r="K85" s="22">
        <f t="shared" si="10"/>
        <v>100</v>
      </c>
      <c r="L85" s="21">
        <v>0</v>
      </c>
      <c r="M85" s="23">
        <f t="shared" si="11"/>
        <v>0</v>
      </c>
      <c r="N85" s="20">
        <v>0</v>
      </c>
      <c r="O85" s="21">
        <v>0</v>
      </c>
      <c r="P85" s="22"/>
      <c r="Q85" s="21">
        <v>0</v>
      </c>
      <c r="R85" s="23"/>
      <c r="S85" s="20">
        <v>0</v>
      </c>
      <c r="T85" s="21">
        <v>0</v>
      </c>
      <c r="U85" s="22"/>
      <c r="V85" s="21">
        <v>0</v>
      </c>
      <c r="W85" s="23"/>
    </row>
    <row r="86" spans="1:25" ht="99.6" customHeight="1" thickBot="1" x14ac:dyDescent="0.35">
      <c r="A86" s="10">
        <v>83</v>
      </c>
      <c r="B86" s="10" t="s">
        <v>104</v>
      </c>
      <c r="C86" s="11" t="s">
        <v>88</v>
      </c>
      <c r="D86" s="20">
        <v>334</v>
      </c>
      <c r="E86" s="21">
        <v>31</v>
      </c>
      <c r="F86" s="22">
        <f t="shared" si="14"/>
        <v>9.2814371257485035</v>
      </c>
      <c r="G86" s="21">
        <v>108</v>
      </c>
      <c r="H86" s="23">
        <f t="shared" si="15"/>
        <v>32.335329341317369</v>
      </c>
      <c r="I86" s="20">
        <v>310</v>
      </c>
      <c r="J86" s="21">
        <v>43</v>
      </c>
      <c r="K86" s="22">
        <f t="shared" si="10"/>
        <v>13.870967741935484</v>
      </c>
      <c r="L86" s="21">
        <v>44</v>
      </c>
      <c r="M86" s="23">
        <f t="shared" si="11"/>
        <v>14.193548387096774</v>
      </c>
      <c r="N86" s="20">
        <v>403</v>
      </c>
      <c r="O86" s="21">
        <v>39</v>
      </c>
      <c r="P86" s="22">
        <f t="shared" si="12"/>
        <v>9.67741935483871</v>
      </c>
      <c r="Q86" s="21">
        <v>119</v>
      </c>
      <c r="R86" s="23">
        <f t="shared" si="13"/>
        <v>29.528535980148884</v>
      </c>
      <c r="S86" s="20">
        <v>294</v>
      </c>
      <c r="T86" s="21">
        <v>24</v>
      </c>
      <c r="U86" s="22">
        <f t="shared" si="8"/>
        <v>8.1632653061224492</v>
      </c>
      <c r="V86" s="21">
        <v>85</v>
      </c>
      <c r="W86" s="23">
        <f t="shared" si="9"/>
        <v>28.911564625850339</v>
      </c>
    </row>
    <row r="87" spans="1:25" ht="63.75" thickBot="1" x14ac:dyDescent="0.35">
      <c r="A87" s="9">
        <v>84</v>
      </c>
      <c r="B87" s="9" t="s">
        <v>99</v>
      </c>
      <c r="C87" s="12" t="s">
        <v>89</v>
      </c>
      <c r="D87" s="35">
        <v>0</v>
      </c>
      <c r="E87" s="36">
        <v>0</v>
      </c>
      <c r="F87" s="37"/>
      <c r="G87" s="36">
        <v>0</v>
      </c>
      <c r="H87" s="38"/>
      <c r="I87" s="39">
        <v>0</v>
      </c>
      <c r="J87" s="40">
        <v>0</v>
      </c>
      <c r="K87" s="41"/>
      <c r="L87" s="40">
        <v>0</v>
      </c>
      <c r="M87" s="42"/>
      <c r="N87" s="39">
        <v>0</v>
      </c>
      <c r="O87" s="40">
        <v>0</v>
      </c>
      <c r="P87" s="41"/>
      <c r="Q87" s="40">
        <v>0</v>
      </c>
      <c r="R87" s="42"/>
      <c r="S87" s="39">
        <v>0</v>
      </c>
      <c r="T87" s="40"/>
      <c r="U87" s="41"/>
      <c r="V87" s="40"/>
      <c r="W87" s="42"/>
      <c r="X87" s="4"/>
    </row>
    <row r="88" spans="1:25" ht="20.25" x14ac:dyDescent="0.3">
      <c r="A88" s="13">
        <v>85</v>
      </c>
      <c r="B88" s="14"/>
      <c r="C88" s="15" t="s">
        <v>90</v>
      </c>
      <c r="D88" s="43">
        <f>SUM(D4:D87)</f>
        <v>22297</v>
      </c>
      <c r="E88" s="43">
        <f t="shared" ref="E88:V88" si="16">SUM(E4:E87)</f>
        <v>706</v>
      </c>
      <c r="F88" s="44">
        <v>18.5</v>
      </c>
      <c r="G88" s="43">
        <f t="shared" si="16"/>
        <v>17302</v>
      </c>
      <c r="H88" s="44">
        <f>G88*100/D88</f>
        <v>77.597883123290131</v>
      </c>
      <c r="I88" s="43">
        <f t="shared" si="16"/>
        <v>10883</v>
      </c>
      <c r="J88" s="43">
        <f t="shared" si="16"/>
        <v>1280</v>
      </c>
      <c r="K88" s="44">
        <v>37.1</v>
      </c>
      <c r="L88" s="43">
        <f t="shared" si="16"/>
        <v>6083</v>
      </c>
      <c r="M88" s="44">
        <f>L88*100/I88</f>
        <v>55.894514380226042</v>
      </c>
      <c r="N88" s="43">
        <f t="shared" si="16"/>
        <v>9472</v>
      </c>
      <c r="O88" s="43">
        <f t="shared" si="16"/>
        <v>917</v>
      </c>
      <c r="P88" s="44">
        <v>30.1</v>
      </c>
      <c r="Q88" s="43">
        <f t="shared" si="16"/>
        <v>4767</v>
      </c>
      <c r="R88" s="44">
        <f>Q88*100/N88</f>
        <v>50.327280405405403</v>
      </c>
      <c r="S88" s="43">
        <f t="shared" si="16"/>
        <v>20962</v>
      </c>
      <c r="T88" s="43">
        <f t="shared" si="16"/>
        <v>771</v>
      </c>
      <c r="U88" s="44">
        <v>22.22</v>
      </c>
      <c r="V88" s="43">
        <f t="shared" si="16"/>
        <v>17376</v>
      </c>
      <c r="W88" s="45">
        <f>V88*100/S88</f>
        <v>82.892853735330604</v>
      </c>
    </row>
    <row r="89" spans="1:25" ht="37.5" x14ac:dyDescent="0.3">
      <c r="A89" s="16">
        <v>86</v>
      </c>
      <c r="B89" s="5"/>
      <c r="C89" s="6" t="s">
        <v>110</v>
      </c>
      <c r="D89" s="46">
        <f>D88+I88+N88</f>
        <v>42652</v>
      </c>
      <c r="E89" s="236" t="s">
        <v>112</v>
      </c>
      <c r="F89" s="236"/>
      <c r="G89" s="236"/>
      <c r="H89" s="46">
        <f>(E88+J88+O88)*100/(E91+J91+Q91)</f>
        <v>28.366230213015438</v>
      </c>
      <c r="I89" s="236" t="s">
        <v>113</v>
      </c>
      <c r="J89" s="236"/>
      <c r="K89" s="236"/>
      <c r="L89" s="46">
        <f>(G88+L88+Q88)*100/D89</f>
        <v>66.003938853981055</v>
      </c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47"/>
    </row>
    <row r="90" spans="1:25" ht="21" thickBot="1" x14ac:dyDescent="0.35">
      <c r="A90" s="17">
        <v>87</v>
      </c>
      <c r="B90" s="18"/>
      <c r="C90" s="19" t="s">
        <v>111</v>
      </c>
      <c r="D90" s="48">
        <f>D88+I88+N88+S88</f>
        <v>63614</v>
      </c>
      <c r="E90" s="237" t="s">
        <v>112</v>
      </c>
      <c r="F90" s="237"/>
      <c r="G90" s="237"/>
      <c r="H90" s="48">
        <f>(E88+J88+O88+T88)*100/(E91+J91+Q91+T91)</f>
        <v>26.809690601284295</v>
      </c>
      <c r="I90" s="237" t="s">
        <v>113</v>
      </c>
      <c r="J90" s="237"/>
      <c r="K90" s="237"/>
      <c r="L90" s="48">
        <f>(G88+L88+Q88+V88)*100/D90</f>
        <v>71.569151444650544</v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49"/>
    </row>
    <row r="91" spans="1:25" ht="15.6" x14ac:dyDescent="0.3">
      <c r="E91">
        <v>3819</v>
      </c>
      <c r="J91">
        <v>3452</v>
      </c>
      <c r="Q91">
        <v>2963</v>
      </c>
      <c r="T91">
        <v>3470</v>
      </c>
    </row>
  </sheetData>
  <mergeCells count="10">
    <mergeCell ref="C2:C3"/>
    <mergeCell ref="A2:A3"/>
    <mergeCell ref="I2:M2"/>
    <mergeCell ref="N2:R2"/>
    <mergeCell ref="S2:W2"/>
    <mergeCell ref="E89:G89"/>
    <mergeCell ref="E90:G90"/>
    <mergeCell ref="I89:K89"/>
    <mergeCell ref="I90:K90"/>
    <mergeCell ref="D2:H2"/>
  </mergeCells>
  <pageMargins left="0.31496062992125984" right="0.31496062992125984" top="0.74803149606299213" bottom="0.74803149606299213" header="0" footer="0"/>
  <pageSetup paperSize="9" scale="56" fitToHeight="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"/>
  <sheetViews>
    <sheetView tabSelected="1" topLeftCell="A3" workbookViewId="0">
      <pane xSplit="2" ySplit="2" topLeftCell="C89" activePane="bottomRight" state="frozen"/>
      <selection activeCell="A3" sqref="A3"/>
      <selection pane="topRight" activeCell="C3" sqref="C3"/>
      <selection pane="bottomLeft" activeCell="A5" sqref="A5"/>
      <selection pane="bottomRight" activeCell="C3" sqref="C3:C4"/>
    </sheetView>
  </sheetViews>
  <sheetFormatPr defaultRowHeight="15" x14ac:dyDescent="0.25"/>
  <cols>
    <col min="2" max="2" width="36.7109375" style="216" customWidth="1"/>
    <col min="3" max="3" width="12.28515625" style="251" customWidth="1"/>
    <col min="4" max="4" width="9.140625" style="251"/>
    <col min="5" max="5" width="0" style="251" hidden="1" customWidth="1"/>
    <col min="6" max="6" width="9.140625" style="251"/>
    <col min="7" max="7" width="0" style="250" hidden="1" customWidth="1"/>
    <col min="8" max="8" width="6.7109375" customWidth="1"/>
    <col min="9" max="9" width="15" customWidth="1"/>
    <col min="10" max="10" width="12.28515625" customWidth="1"/>
    <col min="11" max="11" width="12.7109375" customWidth="1"/>
    <col min="12" max="12" width="12.5703125" customWidth="1"/>
    <col min="13" max="13" width="12.7109375" customWidth="1"/>
    <col min="14" max="14" width="11.140625" customWidth="1"/>
    <col min="15" max="15" width="10" customWidth="1"/>
    <col min="16" max="16" width="14.85546875" customWidth="1"/>
  </cols>
  <sheetData>
    <row r="1" spans="1:16" ht="21" x14ac:dyDescent="0.35">
      <c r="A1" s="253" t="s">
        <v>212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</row>
    <row r="2" spans="1:16" x14ac:dyDescent="0.25">
      <c r="G2" s="249"/>
    </row>
    <row r="3" spans="1:16" ht="91.9" customHeight="1" x14ac:dyDescent="0.25">
      <c r="A3" s="248" t="s">
        <v>207</v>
      </c>
      <c r="B3" s="254" t="s">
        <v>208</v>
      </c>
      <c r="C3" s="255" t="s">
        <v>206</v>
      </c>
      <c r="D3" s="255" t="s">
        <v>209</v>
      </c>
      <c r="E3" s="255" t="s">
        <v>4</v>
      </c>
      <c r="F3" s="255" t="s">
        <v>210</v>
      </c>
      <c r="G3" s="256" t="s">
        <v>6</v>
      </c>
      <c r="H3" s="255" t="s">
        <v>204</v>
      </c>
      <c r="I3" s="255"/>
      <c r="J3" s="255" t="s">
        <v>141</v>
      </c>
      <c r="K3" s="255"/>
      <c r="L3" s="255" t="s">
        <v>142</v>
      </c>
      <c r="M3" s="255"/>
      <c r="N3" s="255" t="s">
        <v>143</v>
      </c>
      <c r="O3" s="255"/>
      <c r="P3" s="255" t="s">
        <v>147</v>
      </c>
    </row>
    <row r="4" spans="1:16" ht="45.75" customHeight="1" x14ac:dyDescent="0.25">
      <c r="A4" s="248"/>
      <c r="B4" s="254"/>
      <c r="C4" s="255"/>
      <c r="D4" s="255"/>
      <c r="E4" s="255"/>
      <c r="F4" s="255"/>
      <c r="G4" s="256"/>
      <c r="H4" s="257" t="s">
        <v>2</v>
      </c>
      <c r="I4" s="257" t="s">
        <v>205</v>
      </c>
      <c r="J4" s="257" t="s">
        <v>144</v>
      </c>
      <c r="K4" s="257" t="s">
        <v>145</v>
      </c>
      <c r="L4" s="257" t="s">
        <v>144</v>
      </c>
      <c r="M4" s="257" t="s">
        <v>146</v>
      </c>
      <c r="N4" s="257" t="s">
        <v>144</v>
      </c>
      <c r="O4" s="257" t="s">
        <v>146</v>
      </c>
      <c r="P4" s="255"/>
    </row>
    <row r="5" spans="1:16" ht="75" x14ac:dyDescent="0.25">
      <c r="A5" s="5">
        <v>1</v>
      </c>
      <c r="B5" s="246" t="s">
        <v>37</v>
      </c>
      <c r="C5" s="220">
        <v>0</v>
      </c>
      <c r="D5" s="220">
        <v>0</v>
      </c>
      <c r="E5" s="220">
        <v>0</v>
      </c>
      <c r="F5" s="220">
        <v>0</v>
      </c>
      <c r="G5" s="250">
        <v>0</v>
      </c>
      <c r="H5" s="222">
        <v>0</v>
      </c>
      <c r="I5" s="222">
        <v>0</v>
      </c>
      <c r="J5" s="220">
        <v>2</v>
      </c>
      <c r="K5" s="220">
        <v>0</v>
      </c>
      <c r="L5" s="220">
        <v>15</v>
      </c>
      <c r="M5" s="220">
        <v>0</v>
      </c>
      <c r="N5" s="220">
        <v>30</v>
      </c>
      <c r="O5" s="220">
        <v>0</v>
      </c>
      <c r="P5" s="220">
        <v>0</v>
      </c>
    </row>
    <row r="6" spans="1:16" ht="120" x14ac:dyDescent="0.25">
      <c r="A6" s="5">
        <v>2</v>
      </c>
      <c r="B6" s="246" t="s">
        <v>39</v>
      </c>
      <c r="C6" s="220">
        <v>0</v>
      </c>
      <c r="D6" s="220">
        <v>0</v>
      </c>
      <c r="E6" s="220">
        <v>0</v>
      </c>
      <c r="F6" s="220">
        <v>0</v>
      </c>
      <c r="G6" s="250">
        <v>0</v>
      </c>
      <c r="H6" s="222">
        <v>0</v>
      </c>
      <c r="I6" s="222">
        <v>0</v>
      </c>
      <c r="J6" s="220">
        <v>2</v>
      </c>
      <c r="K6" s="220">
        <v>0</v>
      </c>
      <c r="L6" s="220">
        <v>15</v>
      </c>
      <c r="M6" s="220">
        <v>0</v>
      </c>
      <c r="N6" s="220">
        <v>1</v>
      </c>
      <c r="O6" s="220">
        <v>0</v>
      </c>
      <c r="P6" s="220">
        <v>0</v>
      </c>
    </row>
    <row r="7" spans="1:16" ht="60" x14ac:dyDescent="0.25">
      <c r="A7" s="5">
        <v>3</v>
      </c>
      <c r="B7" s="246" t="s">
        <v>151</v>
      </c>
      <c r="C7" s="220">
        <v>0</v>
      </c>
      <c r="D7" s="220">
        <v>0</v>
      </c>
      <c r="E7" s="220">
        <v>0</v>
      </c>
      <c r="F7" s="220">
        <v>0</v>
      </c>
      <c r="G7" s="250">
        <v>0</v>
      </c>
      <c r="H7" s="222">
        <v>0</v>
      </c>
      <c r="I7" s="222">
        <v>0</v>
      </c>
      <c r="J7" s="220">
        <v>2</v>
      </c>
      <c r="K7" s="220">
        <v>0</v>
      </c>
      <c r="L7" s="220">
        <v>15</v>
      </c>
      <c r="M7" s="220">
        <v>0</v>
      </c>
      <c r="N7" s="220">
        <v>30</v>
      </c>
      <c r="O7" s="220">
        <v>0</v>
      </c>
      <c r="P7" s="220">
        <v>0</v>
      </c>
    </row>
    <row r="8" spans="1:16" ht="45" x14ac:dyDescent="0.25">
      <c r="A8" s="5">
        <v>4</v>
      </c>
      <c r="B8" s="246" t="s">
        <v>152</v>
      </c>
      <c r="C8" s="220">
        <v>1945</v>
      </c>
      <c r="D8" s="220">
        <v>1005</v>
      </c>
      <c r="E8" s="223">
        <f>D8*100/C8</f>
        <v>51.670951156812336</v>
      </c>
      <c r="F8" s="220">
        <v>0</v>
      </c>
      <c r="G8" s="250">
        <v>0</v>
      </c>
      <c r="H8" s="222">
        <v>0</v>
      </c>
      <c r="I8" s="222">
        <v>0</v>
      </c>
      <c r="J8" s="220">
        <v>1</v>
      </c>
      <c r="K8" s="220">
        <v>1</v>
      </c>
      <c r="L8" s="220">
        <v>15</v>
      </c>
      <c r="M8" s="220">
        <v>3</v>
      </c>
      <c r="N8" s="220">
        <v>1</v>
      </c>
      <c r="O8" s="220">
        <v>1</v>
      </c>
      <c r="P8" s="220">
        <v>0</v>
      </c>
    </row>
    <row r="9" spans="1:16" ht="120" x14ac:dyDescent="0.25">
      <c r="A9" s="5">
        <v>5</v>
      </c>
      <c r="B9" s="246" t="s">
        <v>34</v>
      </c>
      <c r="C9" s="220">
        <v>21</v>
      </c>
      <c r="D9" s="220">
        <v>0</v>
      </c>
      <c r="E9" s="220">
        <v>0</v>
      </c>
      <c r="F9" s="220">
        <v>0</v>
      </c>
      <c r="G9" s="250">
        <v>0</v>
      </c>
      <c r="H9" s="222">
        <v>0</v>
      </c>
      <c r="I9" s="222">
        <v>0</v>
      </c>
      <c r="J9" s="220">
        <v>2</v>
      </c>
      <c r="K9" s="220">
        <v>2</v>
      </c>
      <c r="L9" s="220">
        <v>15</v>
      </c>
      <c r="M9" s="220">
        <v>5</v>
      </c>
      <c r="N9" s="220">
        <v>10</v>
      </c>
      <c r="O9" s="220">
        <v>6</v>
      </c>
      <c r="P9" s="220">
        <v>0</v>
      </c>
    </row>
    <row r="10" spans="1:16" ht="135" x14ac:dyDescent="0.25">
      <c r="A10" s="5">
        <v>6</v>
      </c>
      <c r="B10" s="246" t="s">
        <v>153</v>
      </c>
      <c r="C10" s="220">
        <v>609</v>
      </c>
      <c r="D10" s="220">
        <v>285</v>
      </c>
      <c r="E10" s="220">
        <v>46.8</v>
      </c>
      <c r="F10" s="220">
        <v>0</v>
      </c>
      <c r="G10" s="250">
        <v>0</v>
      </c>
      <c r="H10" s="222">
        <v>0</v>
      </c>
      <c r="I10" s="222">
        <v>0</v>
      </c>
      <c r="J10" s="220">
        <v>2</v>
      </c>
      <c r="K10" s="220">
        <v>2</v>
      </c>
      <c r="L10" s="220">
        <v>15</v>
      </c>
      <c r="M10" s="220">
        <v>15</v>
      </c>
      <c r="N10" s="220">
        <v>27</v>
      </c>
      <c r="O10" s="220">
        <v>27</v>
      </c>
      <c r="P10" s="220">
        <v>0</v>
      </c>
    </row>
    <row r="11" spans="1:16" ht="30" x14ac:dyDescent="0.25">
      <c r="A11" s="5">
        <v>7</v>
      </c>
      <c r="B11" s="246" t="s">
        <v>30</v>
      </c>
      <c r="C11" s="220">
        <v>384</v>
      </c>
      <c r="D11" s="220">
        <v>0</v>
      </c>
      <c r="E11" s="220">
        <v>0</v>
      </c>
      <c r="F11" s="220">
        <v>0</v>
      </c>
      <c r="G11" s="250">
        <v>0</v>
      </c>
      <c r="H11" s="222">
        <v>0</v>
      </c>
      <c r="I11" s="222">
        <v>0</v>
      </c>
      <c r="J11" s="220">
        <v>2</v>
      </c>
      <c r="K11" s="220">
        <v>1</v>
      </c>
      <c r="L11" s="220">
        <v>15</v>
      </c>
      <c r="M11" s="220">
        <v>1</v>
      </c>
      <c r="N11" s="220">
        <v>7</v>
      </c>
      <c r="O11" s="220">
        <v>7</v>
      </c>
      <c r="P11" s="220">
        <v>0</v>
      </c>
    </row>
    <row r="12" spans="1:16" ht="45" x14ac:dyDescent="0.25">
      <c r="A12" s="5">
        <v>8</v>
      </c>
      <c r="B12" s="246" t="s">
        <v>20</v>
      </c>
      <c r="C12" s="220">
        <v>5</v>
      </c>
      <c r="D12" s="220">
        <v>0</v>
      </c>
      <c r="E12" s="220">
        <v>0</v>
      </c>
      <c r="F12" s="220">
        <v>0</v>
      </c>
      <c r="G12" s="250">
        <v>0</v>
      </c>
      <c r="H12" s="222">
        <v>0</v>
      </c>
      <c r="I12" s="222">
        <v>0</v>
      </c>
      <c r="J12" s="220">
        <v>2</v>
      </c>
      <c r="K12" s="220">
        <v>1</v>
      </c>
      <c r="L12" s="220">
        <v>15</v>
      </c>
      <c r="M12" s="220">
        <v>1</v>
      </c>
      <c r="N12" s="220">
        <v>30</v>
      </c>
      <c r="O12" s="220">
        <v>4</v>
      </c>
      <c r="P12" s="220">
        <v>0</v>
      </c>
    </row>
    <row r="13" spans="1:16" ht="75" x14ac:dyDescent="0.25">
      <c r="A13" s="5">
        <v>9</v>
      </c>
      <c r="B13" s="246" t="s">
        <v>154</v>
      </c>
      <c r="C13" s="220">
        <v>134</v>
      </c>
      <c r="D13" s="220">
        <v>0</v>
      </c>
      <c r="E13" s="220">
        <v>0</v>
      </c>
      <c r="F13" s="220">
        <v>0</v>
      </c>
      <c r="G13" s="250">
        <v>0</v>
      </c>
      <c r="H13" s="222">
        <v>0</v>
      </c>
      <c r="I13" s="222">
        <v>0</v>
      </c>
      <c r="J13" s="220">
        <v>2</v>
      </c>
      <c r="K13" s="220">
        <v>2</v>
      </c>
      <c r="L13" s="220">
        <v>15</v>
      </c>
      <c r="M13" s="220">
        <v>5</v>
      </c>
      <c r="N13" s="220">
        <v>90</v>
      </c>
      <c r="O13" s="220">
        <v>90</v>
      </c>
      <c r="P13" s="220">
        <v>0</v>
      </c>
    </row>
    <row r="14" spans="1:16" ht="105" x14ac:dyDescent="0.25">
      <c r="A14" s="5">
        <v>10</v>
      </c>
      <c r="B14" s="246" t="s">
        <v>155</v>
      </c>
      <c r="C14" s="220">
        <v>157</v>
      </c>
      <c r="D14" s="220">
        <v>0</v>
      </c>
      <c r="E14" s="220">
        <v>0</v>
      </c>
      <c r="F14" s="220">
        <v>13</v>
      </c>
      <c r="G14" s="250">
        <v>8.3000000000000007</v>
      </c>
      <c r="H14" s="222">
        <v>0</v>
      </c>
      <c r="I14" s="222">
        <v>0</v>
      </c>
      <c r="J14" s="220">
        <v>2</v>
      </c>
      <c r="K14" s="220">
        <v>2</v>
      </c>
      <c r="L14" s="220">
        <v>15</v>
      </c>
      <c r="M14" s="220">
        <v>8</v>
      </c>
      <c r="N14" s="220">
        <v>5</v>
      </c>
      <c r="O14" s="220">
        <v>4</v>
      </c>
      <c r="P14" s="220">
        <v>0</v>
      </c>
    </row>
    <row r="15" spans="1:16" ht="60" x14ac:dyDescent="0.25">
      <c r="A15" s="5">
        <v>11</v>
      </c>
      <c r="B15" s="246" t="s">
        <v>156</v>
      </c>
      <c r="C15" s="220">
        <v>28</v>
      </c>
      <c r="D15" s="220">
        <v>0</v>
      </c>
      <c r="E15" s="220">
        <v>0</v>
      </c>
      <c r="F15" s="220">
        <v>0</v>
      </c>
      <c r="G15" s="250">
        <v>0</v>
      </c>
      <c r="H15" s="222">
        <v>0</v>
      </c>
      <c r="I15" s="222">
        <v>0</v>
      </c>
      <c r="J15" s="220">
        <v>2</v>
      </c>
      <c r="K15" s="220">
        <v>0</v>
      </c>
      <c r="L15" s="220">
        <v>15</v>
      </c>
      <c r="M15" s="220">
        <v>0</v>
      </c>
      <c r="N15" s="220">
        <v>30</v>
      </c>
      <c r="O15" s="220">
        <v>0</v>
      </c>
      <c r="P15" s="220">
        <v>0</v>
      </c>
    </row>
    <row r="16" spans="1:16" ht="165" x14ac:dyDescent="0.25">
      <c r="A16" s="5">
        <v>12</v>
      </c>
      <c r="B16" s="246" t="s">
        <v>16</v>
      </c>
      <c r="C16" s="220">
        <v>16</v>
      </c>
      <c r="D16" s="220">
        <v>0</v>
      </c>
      <c r="E16" s="220">
        <v>0</v>
      </c>
      <c r="F16" s="220">
        <v>0</v>
      </c>
      <c r="G16" s="250">
        <v>0</v>
      </c>
      <c r="H16" s="222">
        <v>0</v>
      </c>
      <c r="I16" s="222">
        <v>0</v>
      </c>
      <c r="J16" s="220">
        <v>2</v>
      </c>
      <c r="K16" s="220">
        <v>1</v>
      </c>
      <c r="L16" s="220">
        <v>15</v>
      </c>
      <c r="M16" s="220">
        <v>1</v>
      </c>
      <c r="N16" s="220">
        <v>30</v>
      </c>
      <c r="O16" s="220">
        <v>7</v>
      </c>
      <c r="P16" s="220">
        <v>0</v>
      </c>
    </row>
    <row r="17" spans="1:16" ht="45" x14ac:dyDescent="0.25">
      <c r="A17" s="5">
        <v>13</v>
      </c>
      <c r="B17" s="246" t="s">
        <v>15</v>
      </c>
      <c r="C17" s="220">
        <v>52</v>
      </c>
      <c r="D17" s="220">
        <v>0</v>
      </c>
      <c r="E17" s="220">
        <v>0</v>
      </c>
      <c r="F17" s="220">
        <v>0</v>
      </c>
      <c r="G17" s="250">
        <v>0</v>
      </c>
      <c r="H17" s="222">
        <v>0</v>
      </c>
      <c r="I17" s="222">
        <v>0</v>
      </c>
      <c r="J17" s="220">
        <v>2</v>
      </c>
      <c r="K17" s="220">
        <v>2</v>
      </c>
      <c r="L17" s="220">
        <v>15</v>
      </c>
      <c r="M17" s="220">
        <v>2</v>
      </c>
      <c r="N17" s="220">
        <v>30</v>
      </c>
      <c r="O17" s="220">
        <v>28</v>
      </c>
      <c r="P17" s="220">
        <v>0</v>
      </c>
    </row>
    <row r="18" spans="1:16" ht="60" x14ac:dyDescent="0.25">
      <c r="A18" s="5">
        <v>14</v>
      </c>
      <c r="B18" s="246" t="s">
        <v>157</v>
      </c>
      <c r="C18" s="220">
        <v>108</v>
      </c>
      <c r="D18" s="220">
        <v>0</v>
      </c>
      <c r="E18" s="220">
        <v>0</v>
      </c>
      <c r="F18" s="220">
        <v>0</v>
      </c>
      <c r="G18" s="250">
        <v>0</v>
      </c>
      <c r="H18" s="222">
        <v>0</v>
      </c>
      <c r="I18" s="222">
        <v>0</v>
      </c>
      <c r="J18" s="220">
        <v>2</v>
      </c>
      <c r="K18" s="220">
        <v>2</v>
      </c>
      <c r="L18" s="220">
        <v>15</v>
      </c>
      <c r="M18" s="220">
        <v>15</v>
      </c>
      <c r="N18" s="220">
        <v>30</v>
      </c>
      <c r="O18" s="220">
        <v>30</v>
      </c>
      <c r="P18" s="220">
        <v>0</v>
      </c>
    </row>
    <row r="19" spans="1:16" ht="60" x14ac:dyDescent="0.25">
      <c r="A19" s="5">
        <v>15</v>
      </c>
      <c r="B19" s="246" t="s">
        <v>33</v>
      </c>
      <c r="C19" s="220">
        <v>746</v>
      </c>
      <c r="D19" s="220">
        <v>0</v>
      </c>
      <c r="E19" s="220">
        <v>0</v>
      </c>
      <c r="F19" s="220">
        <v>0</v>
      </c>
      <c r="G19" s="250">
        <v>0</v>
      </c>
      <c r="H19" s="222">
        <v>0</v>
      </c>
      <c r="I19" s="222">
        <v>0</v>
      </c>
      <c r="J19" s="220">
        <v>2</v>
      </c>
      <c r="K19" s="220">
        <v>1</v>
      </c>
      <c r="L19" s="220">
        <v>15</v>
      </c>
      <c r="M19" s="220">
        <v>1</v>
      </c>
      <c r="N19" s="220">
        <v>24</v>
      </c>
      <c r="O19" s="220">
        <v>2</v>
      </c>
      <c r="P19" s="220">
        <v>0</v>
      </c>
    </row>
    <row r="20" spans="1:16" ht="90" x14ac:dyDescent="0.25">
      <c r="A20" s="5">
        <v>16</v>
      </c>
      <c r="B20" s="246" t="s">
        <v>158</v>
      </c>
      <c r="C20" s="220">
        <v>235</v>
      </c>
      <c r="D20" s="220">
        <v>0</v>
      </c>
      <c r="E20" s="220">
        <v>0</v>
      </c>
      <c r="F20" s="220">
        <v>0</v>
      </c>
      <c r="G20" s="250">
        <v>0</v>
      </c>
      <c r="H20" s="222">
        <v>0</v>
      </c>
      <c r="I20" s="222">
        <v>0</v>
      </c>
      <c r="J20" s="220">
        <v>2</v>
      </c>
      <c r="K20" s="220">
        <v>2</v>
      </c>
      <c r="L20" s="220">
        <v>15</v>
      </c>
      <c r="M20" s="220">
        <v>15</v>
      </c>
      <c r="N20" s="220">
        <v>30</v>
      </c>
      <c r="O20" s="220">
        <v>30</v>
      </c>
      <c r="P20" s="220">
        <v>0</v>
      </c>
    </row>
    <row r="21" spans="1:16" ht="45" x14ac:dyDescent="0.25">
      <c r="A21" s="5">
        <v>17</v>
      </c>
      <c r="B21" s="246" t="s">
        <v>7</v>
      </c>
      <c r="C21" s="220">
        <v>579</v>
      </c>
      <c r="D21" s="220">
        <v>7</v>
      </c>
      <c r="E21" s="220">
        <v>1.2</v>
      </c>
      <c r="F21" s="220">
        <v>6</v>
      </c>
      <c r="G21" s="250">
        <v>1</v>
      </c>
      <c r="H21" s="222">
        <v>0</v>
      </c>
      <c r="I21" s="222">
        <v>0</v>
      </c>
      <c r="J21" s="220">
        <v>2</v>
      </c>
      <c r="K21" s="220">
        <v>2</v>
      </c>
      <c r="L21" s="220">
        <v>15</v>
      </c>
      <c r="M21" s="220">
        <v>15</v>
      </c>
      <c r="N21" s="220">
        <v>20</v>
      </c>
      <c r="O21" s="220">
        <v>20</v>
      </c>
      <c r="P21" s="220">
        <v>0</v>
      </c>
    </row>
    <row r="22" spans="1:16" ht="45" x14ac:dyDescent="0.25">
      <c r="A22" s="5">
        <v>18</v>
      </c>
      <c r="B22" s="246" t="s">
        <v>13</v>
      </c>
      <c r="C22" s="220">
        <v>3051</v>
      </c>
      <c r="D22" s="220">
        <v>1527</v>
      </c>
      <c r="E22" s="220">
        <v>50</v>
      </c>
      <c r="F22" s="220">
        <v>2</v>
      </c>
      <c r="G22" s="250">
        <v>0.1</v>
      </c>
      <c r="H22" s="222">
        <v>0</v>
      </c>
      <c r="I22" s="222">
        <v>0</v>
      </c>
      <c r="J22" s="220">
        <v>1</v>
      </c>
      <c r="K22" s="220">
        <v>1</v>
      </c>
      <c r="L22" s="220">
        <v>15</v>
      </c>
      <c r="M22" s="220">
        <v>15</v>
      </c>
      <c r="N22" s="220">
        <v>10</v>
      </c>
      <c r="O22" s="220">
        <v>10</v>
      </c>
      <c r="P22" s="220">
        <v>0</v>
      </c>
    </row>
    <row r="23" spans="1:16" ht="120" x14ac:dyDescent="0.25">
      <c r="A23" s="5">
        <v>19</v>
      </c>
      <c r="B23" s="246" t="s">
        <v>159</v>
      </c>
      <c r="C23" s="220">
        <v>14</v>
      </c>
      <c r="D23" s="220">
        <v>0</v>
      </c>
      <c r="E23" s="220">
        <v>0</v>
      </c>
      <c r="F23" s="220">
        <v>0</v>
      </c>
      <c r="G23" s="250">
        <v>0</v>
      </c>
      <c r="H23" s="222">
        <v>0</v>
      </c>
      <c r="I23" s="222">
        <v>0</v>
      </c>
      <c r="J23" s="220">
        <v>2</v>
      </c>
      <c r="K23" s="220">
        <v>2</v>
      </c>
      <c r="L23" s="220">
        <v>15</v>
      </c>
      <c r="M23" s="220">
        <v>14</v>
      </c>
      <c r="N23" s="220">
        <v>30</v>
      </c>
      <c r="O23" s="220">
        <v>30</v>
      </c>
      <c r="P23" s="220">
        <v>0</v>
      </c>
    </row>
    <row r="24" spans="1:16" ht="75" x14ac:dyDescent="0.25">
      <c r="A24" s="5">
        <v>20</v>
      </c>
      <c r="B24" s="246" t="s">
        <v>18</v>
      </c>
      <c r="C24" s="220">
        <v>32</v>
      </c>
      <c r="D24" s="220">
        <v>0</v>
      </c>
      <c r="E24" s="220">
        <v>0</v>
      </c>
      <c r="F24" s="220">
        <v>0</v>
      </c>
      <c r="G24" s="250">
        <v>0</v>
      </c>
      <c r="H24" s="222">
        <v>0</v>
      </c>
      <c r="I24" s="222">
        <v>0</v>
      </c>
      <c r="J24" s="220">
        <v>2</v>
      </c>
      <c r="K24" s="220">
        <v>2</v>
      </c>
      <c r="L24" s="220">
        <v>15</v>
      </c>
      <c r="M24" s="220">
        <v>5</v>
      </c>
      <c r="N24" s="220">
        <v>30</v>
      </c>
      <c r="O24" s="220">
        <v>30</v>
      </c>
      <c r="P24" s="220">
        <v>0</v>
      </c>
    </row>
    <row r="25" spans="1:16" ht="45" x14ac:dyDescent="0.25">
      <c r="A25" s="5">
        <v>21</v>
      </c>
      <c r="B25" s="246" t="s">
        <v>14</v>
      </c>
      <c r="C25" s="220">
        <v>14</v>
      </c>
      <c r="D25" s="220">
        <v>0</v>
      </c>
      <c r="E25" s="220">
        <v>0</v>
      </c>
      <c r="F25" s="220">
        <v>0</v>
      </c>
      <c r="G25" s="250">
        <v>0</v>
      </c>
      <c r="H25" s="222">
        <v>0</v>
      </c>
      <c r="I25" s="222">
        <v>0</v>
      </c>
      <c r="J25" s="220">
        <v>2</v>
      </c>
      <c r="K25" s="220">
        <v>1</v>
      </c>
      <c r="L25" s="220">
        <v>15</v>
      </c>
      <c r="M25" s="220">
        <v>5</v>
      </c>
      <c r="N25" s="220">
        <v>30</v>
      </c>
      <c r="O25" s="220">
        <v>30</v>
      </c>
      <c r="P25" s="220">
        <v>0</v>
      </c>
    </row>
    <row r="26" spans="1:16" ht="30" x14ac:dyDescent="0.25">
      <c r="A26" s="5">
        <v>22</v>
      </c>
      <c r="B26" s="246" t="s">
        <v>41</v>
      </c>
      <c r="C26" s="220">
        <v>189</v>
      </c>
      <c r="D26" s="220">
        <v>0</v>
      </c>
      <c r="E26" s="220">
        <v>0</v>
      </c>
      <c r="F26" s="220">
        <v>0</v>
      </c>
      <c r="G26" s="250">
        <v>0</v>
      </c>
      <c r="H26" s="222">
        <v>10</v>
      </c>
      <c r="I26" s="222">
        <v>8</v>
      </c>
      <c r="J26" s="220">
        <v>2</v>
      </c>
      <c r="K26" s="220">
        <v>2</v>
      </c>
      <c r="L26" s="220">
        <v>15</v>
      </c>
      <c r="M26" s="220">
        <v>13</v>
      </c>
      <c r="N26" s="220">
        <v>3</v>
      </c>
      <c r="O26" s="220">
        <v>3</v>
      </c>
      <c r="P26" s="220">
        <v>0</v>
      </c>
    </row>
    <row r="27" spans="1:16" ht="45" x14ac:dyDescent="0.25">
      <c r="A27" s="5">
        <v>23</v>
      </c>
      <c r="B27" s="246" t="s">
        <v>38</v>
      </c>
      <c r="C27" s="220">
        <v>30</v>
      </c>
      <c r="D27" s="220">
        <v>0</v>
      </c>
      <c r="E27" s="220">
        <v>0</v>
      </c>
      <c r="F27" s="220">
        <v>0</v>
      </c>
      <c r="G27" s="250">
        <v>0</v>
      </c>
      <c r="H27" s="222">
        <v>0</v>
      </c>
      <c r="I27" s="222">
        <v>0</v>
      </c>
      <c r="J27" s="220">
        <v>2</v>
      </c>
      <c r="K27" s="220">
        <v>2</v>
      </c>
      <c r="L27" s="220">
        <v>15</v>
      </c>
      <c r="M27" s="220">
        <v>15</v>
      </c>
      <c r="N27" s="220">
        <v>14</v>
      </c>
      <c r="O27" s="220">
        <v>14</v>
      </c>
      <c r="P27" s="220">
        <v>0</v>
      </c>
    </row>
    <row r="28" spans="1:16" ht="60" x14ac:dyDescent="0.25">
      <c r="A28" s="5">
        <v>24</v>
      </c>
      <c r="B28" s="246" t="s">
        <v>160</v>
      </c>
      <c r="C28" s="220">
        <v>0</v>
      </c>
      <c r="D28" s="220">
        <v>0</v>
      </c>
      <c r="E28" s="220">
        <v>0</v>
      </c>
      <c r="F28" s="220">
        <v>0</v>
      </c>
      <c r="G28" s="250">
        <v>0</v>
      </c>
      <c r="H28" s="222">
        <v>0</v>
      </c>
      <c r="I28" s="222">
        <v>0</v>
      </c>
      <c r="J28" s="220">
        <v>0</v>
      </c>
      <c r="K28" s="220">
        <v>0</v>
      </c>
      <c r="L28" s="220">
        <v>0</v>
      </c>
      <c r="M28" s="220">
        <v>0</v>
      </c>
      <c r="N28" s="220">
        <v>0</v>
      </c>
      <c r="O28" s="220">
        <v>0</v>
      </c>
      <c r="P28" s="220">
        <v>0</v>
      </c>
    </row>
    <row r="29" spans="1:16" ht="105" x14ac:dyDescent="0.25">
      <c r="A29" s="5">
        <v>25</v>
      </c>
      <c r="B29" s="246" t="s">
        <v>161</v>
      </c>
      <c r="C29" s="220">
        <v>85</v>
      </c>
      <c r="D29" s="220">
        <v>0</v>
      </c>
      <c r="E29" s="220">
        <v>0</v>
      </c>
      <c r="F29" s="220">
        <v>0</v>
      </c>
      <c r="G29" s="250">
        <v>0</v>
      </c>
      <c r="H29" s="222">
        <v>0</v>
      </c>
      <c r="I29" s="222">
        <v>0</v>
      </c>
      <c r="J29" s="220">
        <v>2</v>
      </c>
      <c r="K29" s="220">
        <v>2</v>
      </c>
      <c r="L29" s="220">
        <v>15</v>
      </c>
      <c r="M29" s="220">
        <v>15</v>
      </c>
      <c r="N29" s="220">
        <v>30</v>
      </c>
      <c r="O29" s="220">
        <v>30</v>
      </c>
      <c r="P29" s="220">
        <v>0</v>
      </c>
    </row>
    <row r="30" spans="1:16" ht="105" x14ac:dyDescent="0.25">
      <c r="A30" s="5">
        <v>26</v>
      </c>
      <c r="B30" s="246" t="s">
        <v>162</v>
      </c>
      <c r="C30" s="220">
        <v>6</v>
      </c>
      <c r="D30" s="220">
        <v>0</v>
      </c>
      <c r="E30" s="220">
        <v>0</v>
      </c>
      <c r="F30" s="220">
        <v>0</v>
      </c>
      <c r="G30" s="250">
        <v>0</v>
      </c>
      <c r="H30" s="222">
        <v>0</v>
      </c>
      <c r="I30" s="222">
        <v>0</v>
      </c>
      <c r="J30" s="220">
        <v>2</v>
      </c>
      <c r="K30" s="220">
        <v>1</v>
      </c>
      <c r="L30" s="220">
        <v>15</v>
      </c>
      <c r="M30" s="220">
        <v>4</v>
      </c>
      <c r="N30" s="220">
        <v>30</v>
      </c>
      <c r="O30" s="220">
        <v>8</v>
      </c>
      <c r="P30" s="220">
        <v>0</v>
      </c>
    </row>
    <row r="31" spans="1:16" ht="120" x14ac:dyDescent="0.25">
      <c r="A31" s="5">
        <v>27</v>
      </c>
      <c r="B31" s="246" t="s">
        <v>163</v>
      </c>
      <c r="C31" s="220">
        <v>152</v>
      </c>
      <c r="D31" s="220">
        <v>0</v>
      </c>
      <c r="E31" s="220">
        <v>0</v>
      </c>
      <c r="F31" s="220">
        <v>0</v>
      </c>
      <c r="G31" s="250">
        <v>0</v>
      </c>
      <c r="H31" s="222">
        <v>0</v>
      </c>
      <c r="I31" s="222">
        <v>0</v>
      </c>
      <c r="J31" s="220">
        <v>2</v>
      </c>
      <c r="K31" s="220">
        <v>2</v>
      </c>
      <c r="L31" s="220">
        <v>15</v>
      </c>
      <c r="M31" s="220">
        <v>15</v>
      </c>
      <c r="N31" s="220">
        <v>30</v>
      </c>
      <c r="O31" s="220">
        <v>30</v>
      </c>
      <c r="P31" s="220">
        <v>0</v>
      </c>
    </row>
    <row r="32" spans="1:16" ht="60" x14ac:dyDescent="0.25">
      <c r="A32" s="5">
        <v>28</v>
      </c>
      <c r="B32" s="246" t="s">
        <v>164</v>
      </c>
      <c r="C32" s="220">
        <v>347</v>
      </c>
      <c r="D32" s="220">
        <v>0</v>
      </c>
      <c r="E32" s="220">
        <v>0</v>
      </c>
      <c r="F32" s="220">
        <v>10</v>
      </c>
      <c r="G32" s="250">
        <v>2.9</v>
      </c>
      <c r="H32" s="222">
        <v>0</v>
      </c>
      <c r="I32" s="222">
        <v>0</v>
      </c>
      <c r="J32" s="220">
        <v>2</v>
      </c>
      <c r="K32" s="220">
        <v>2</v>
      </c>
      <c r="L32" s="220">
        <v>15</v>
      </c>
      <c r="M32" s="220">
        <v>15</v>
      </c>
      <c r="N32" s="220">
        <v>30</v>
      </c>
      <c r="O32" s="220">
        <v>30</v>
      </c>
      <c r="P32" s="220">
        <v>0</v>
      </c>
    </row>
    <row r="33" spans="1:16" ht="60" x14ac:dyDescent="0.25">
      <c r="A33" s="5">
        <v>29</v>
      </c>
      <c r="B33" s="246" t="s">
        <v>51</v>
      </c>
      <c r="C33" s="220">
        <v>30</v>
      </c>
      <c r="D33" s="220">
        <v>0</v>
      </c>
      <c r="E33" s="220">
        <v>0</v>
      </c>
      <c r="F33" s="220">
        <v>0</v>
      </c>
      <c r="G33" s="250">
        <v>0</v>
      </c>
      <c r="H33" s="222">
        <v>0</v>
      </c>
      <c r="I33" s="222">
        <v>0</v>
      </c>
      <c r="J33" s="220">
        <v>2</v>
      </c>
      <c r="K33" s="220">
        <v>2</v>
      </c>
      <c r="L33" s="220">
        <v>15</v>
      </c>
      <c r="M33" s="220">
        <v>13</v>
      </c>
      <c r="N33" s="220">
        <v>30</v>
      </c>
      <c r="O33" s="220">
        <v>26</v>
      </c>
      <c r="P33" s="220">
        <v>0</v>
      </c>
    </row>
    <row r="34" spans="1:16" ht="60" x14ac:dyDescent="0.25">
      <c r="A34" s="5">
        <v>30</v>
      </c>
      <c r="B34" s="246" t="s">
        <v>55</v>
      </c>
      <c r="C34" s="220">
        <v>2241</v>
      </c>
      <c r="D34" s="220">
        <v>489</v>
      </c>
      <c r="E34" s="220">
        <v>21.8</v>
      </c>
      <c r="F34" s="220">
        <v>2</v>
      </c>
      <c r="G34" s="250">
        <v>0.1</v>
      </c>
      <c r="H34" s="222">
        <v>0</v>
      </c>
      <c r="I34" s="222">
        <v>0</v>
      </c>
      <c r="J34" s="220">
        <v>2</v>
      </c>
      <c r="K34" s="220">
        <v>1</v>
      </c>
      <c r="L34" s="220">
        <v>15</v>
      </c>
      <c r="M34" s="220">
        <v>10</v>
      </c>
      <c r="N34" s="220">
        <v>10</v>
      </c>
      <c r="O34" s="220">
        <v>10</v>
      </c>
      <c r="P34" s="220">
        <v>0</v>
      </c>
    </row>
    <row r="35" spans="1:16" ht="60" x14ac:dyDescent="0.25">
      <c r="A35" s="5">
        <v>31</v>
      </c>
      <c r="B35" s="246" t="s">
        <v>165</v>
      </c>
      <c r="C35" s="220">
        <v>292</v>
      </c>
      <c r="D35" s="220">
        <v>0</v>
      </c>
      <c r="E35" s="220">
        <v>0</v>
      </c>
      <c r="F35" s="220">
        <v>0</v>
      </c>
      <c r="G35" s="250">
        <v>0</v>
      </c>
      <c r="H35" s="222">
        <v>0</v>
      </c>
      <c r="I35" s="222">
        <v>0</v>
      </c>
      <c r="J35" s="220">
        <v>1</v>
      </c>
      <c r="K35" s="220">
        <v>1</v>
      </c>
      <c r="L35" s="220">
        <v>4</v>
      </c>
      <c r="M35" s="220">
        <v>4</v>
      </c>
      <c r="N35" s="220">
        <v>2</v>
      </c>
      <c r="O35" s="220">
        <v>2</v>
      </c>
      <c r="P35" s="220">
        <v>0</v>
      </c>
    </row>
    <row r="36" spans="1:16" ht="75" x14ac:dyDescent="0.25">
      <c r="A36" s="5">
        <v>32</v>
      </c>
      <c r="B36" s="246" t="s">
        <v>166</v>
      </c>
      <c r="C36" s="220">
        <v>0</v>
      </c>
      <c r="D36" s="220">
        <v>0</v>
      </c>
      <c r="E36" s="220">
        <v>0</v>
      </c>
      <c r="F36" s="220">
        <v>0</v>
      </c>
      <c r="G36" s="250">
        <v>0</v>
      </c>
      <c r="H36" s="222">
        <v>0</v>
      </c>
      <c r="I36" s="222">
        <v>0</v>
      </c>
      <c r="J36" s="220">
        <v>2</v>
      </c>
      <c r="K36" s="220">
        <v>1</v>
      </c>
      <c r="L36" s="220">
        <v>15</v>
      </c>
      <c r="M36" s="220">
        <v>1</v>
      </c>
      <c r="N36" s="220">
        <v>120</v>
      </c>
      <c r="O36" s="220">
        <v>30</v>
      </c>
      <c r="P36" s="220">
        <v>0</v>
      </c>
    </row>
    <row r="37" spans="1:16" ht="45" x14ac:dyDescent="0.25">
      <c r="A37" s="5">
        <v>33</v>
      </c>
      <c r="B37" s="246" t="s">
        <v>167</v>
      </c>
      <c r="C37" s="220">
        <v>597</v>
      </c>
      <c r="D37" s="220">
        <v>0</v>
      </c>
      <c r="E37" s="220">
        <v>0</v>
      </c>
      <c r="F37" s="220">
        <v>0</v>
      </c>
      <c r="G37" s="250">
        <v>0</v>
      </c>
      <c r="H37" s="222">
        <v>0</v>
      </c>
      <c r="I37" s="222">
        <v>0</v>
      </c>
      <c r="J37" s="220">
        <v>1</v>
      </c>
      <c r="K37" s="220">
        <v>1</v>
      </c>
      <c r="L37" s="220">
        <v>4</v>
      </c>
      <c r="M37" s="220">
        <v>1</v>
      </c>
      <c r="N37" s="220">
        <v>2</v>
      </c>
      <c r="O37" s="220">
        <v>2</v>
      </c>
      <c r="P37" s="220">
        <v>0</v>
      </c>
    </row>
    <row r="38" spans="1:16" ht="60" x14ac:dyDescent="0.25">
      <c r="A38" s="5">
        <v>34</v>
      </c>
      <c r="B38" s="246" t="s">
        <v>54</v>
      </c>
      <c r="C38" s="220">
        <v>171</v>
      </c>
      <c r="D38" s="220">
        <v>0</v>
      </c>
      <c r="E38" s="220">
        <v>0</v>
      </c>
      <c r="F38" s="220">
        <v>0</v>
      </c>
      <c r="G38" s="250">
        <v>0</v>
      </c>
      <c r="H38" s="222">
        <v>0</v>
      </c>
      <c r="I38" s="222">
        <v>0</v>
      </c>
      <c r="J38" s="220">
        <v>1</v>
      </c>
      <c r="K38" s="220">
        <v>0</v>
      </c>
      <c r="L38" s="220">
        <v>4</v>
      </c>
      <c r="M38" s="220">
        <v>0</v>
      </c>
      <c r="N38" s="220">
        <v>8</v>
      </c>
      <c r="O38" s="220">
        <v>0</v>
      </c>
      <c r="P38" s="220">
        <v>0</v>
      </c>
    </row>
    <row r="39" spans="1:16" ht="75" x14ac:dyDescent="0.25">
      <c r="A39" s="5">
        <v>35</v>
      </c>
      <c r="B39" s="246" t="s">
        <v>49</v>
      </c>
      <c r="C39" s="220">
        <v>0</v>
      </c>
      <c r="D39" s="220">
        <v>0</v>
      </c>
      <c r="E39" s="220">
        <v>0</v>
      </c>
      <c r="F39" s="220">
        <v>0</v>
      </c>
      <c r="G39" s="250">
        <v>0</v>
      </c>
      <c r="H39" s="222">
        <v>0</v>
      </c>
      <c r="I39" s="222">
        <v>0</v>
      </c>
      <c r="J39" s="220">
        <v>2</v>
      </c>
      <c r="K39" s="220">
        <v>0</v>
      </c>
      <c r="L39" s="220">
        <v>15</v>
      </c>
      <c r="M39" s="220">
        <v>0</v>
      </c>
      <c r="N39" s="220">
        <v>30</v>
      </c>
      <c r="O39" s="220">
        <v>0</v>
      </c>
      <c r="P39" s="220">
        <v>0</v>
      </c>
    </row>
    <row r="40" spans="1:16" ht="45" x14ac:dyDescent="0.25">
      <c r="A40" s="5">
        <v>36</v>
      </c>
      <c r="B40" s="246" t="s">
        <v>21</v>
      </c>
      <c r="C40" s="220">
        <v>2</v>
      </c>
      <c r="D40" s="220">
        <v>0</v>
      </c>
      <c r="E40" s="220">
        <v>0</v>
      </c>
      <c r="F40" s="220">
        <v>0</v>
      </c>
      <c r="G40" s="250">
        <v>0</v>
      </c>
      <c r="H40" s="222">
        <v>0</v>
      </c>
      <c r="I40" s="222">
        <v>0</v>
      </c>
      <c r="J40" s="220">
        <v>2</v>
      </c>
      <c r="K40" s="220">
        <v>0</v>
      </c>
      <c r="L40" s="220">
        <v>15</v>
      </c>
      <c r="M40" s="220">
        <v>0</v>
      </c>
      <c r="N40" s="220">
        <v>30</v>
      </c>
      <c r="O40" s="220">
        <v>0</v>
      </c>
      <c r="P40" s="220">
        <v>0</v>
      </c>
    </row>
    <row r="41" spans="1:16" ht="60" x14ac:dyDescent="0.25">
      <c r="A41" s="5">
        <v>37</v>
      </c>
      <c r="B41" s="246" t="s">
        <v>168</v>
      </c>
      <c r="C41" s="220">
        <v>4</v>
      </c>
      <c r="D41" s="220">
        <v>0</v>
      </c>
      <c r="E41" s="220">
        <v>0</v>
      </c>
      <c r="F41" s="220">
        <v>0</v>
      </c>
      <c r="G41" s="250">
        <v>0</v>
      </c>
      <c r="H41" s="222">
        <v>0</v>
      </c>
      <c r="I41" s="222">
        <v>0</v>
      </c>
      <c r="J41" s="220">
        <v>2</v>
      </c>
      <c r="K41" s="220">
        <v>0</v>
      </c>
      <c r="L41" s="220">
        <v>15</v>
      </c>
      <c r="M41" s="220">
        <v>0</v>
      </c>
      <c r="N41" s="220">
        <v>45</v>
      </c>
      <c r="O41" s="220">
        <v>0</v>
      </c>
      <c r="P41" s="220">
        <v>0</v>
      </c>
    </row>
    <row r="42" spans="1:16" ht="45" x14ac:dyDescent="0.25">
      <c r="A42" s="5">
        <v>38</v>
      </c>
      <c r="B42" s="246" t="s">
        <v>169</v>
      </c>
      <c r="C42" s="220">
        <v>25</v>
      </c>
      <c r="D42" s="220">
        <v>0</v>
      </c>
      <c r="E42" s="220">
        <v>0</v>
      </c>
      <c r="F42" s="220">
        <v>0</v>
      </c>
      <c r="G42" s="250">
        <v>0</v>
      </c>
      <c r="H42" s="222">
        <v>0</v>
      </c>
      <c r="I42" s="222">
        <v>0</v>
      </c>
      <c r="J42" s="220">
        <v>2</v>
      </c>
      <c r="K42" s="220">
        <v>2</v>
      </c>
      <c r="L42" s="220">
        <v>15</v>
      </c>
      <c r="M42" s="220">
        <v>6</v>
      </c>
      <c r="N42" s="220">
        <v>60</v>
      </c>
      <c r="O42" s="220">
        <v>60</v>
      </c>
      <c r="P42" s="220">
        <v>0</v>
      </c>
    </row>
    <row r="43" spans="1:16" ht="60" x14ac:dyDescent="0.25">
      <c r="A43" s="5">
        <v>39</v>
      </c>
      <c r="B43" s="246" t="s">
        <v>170</v>
      </c>
      <c r="C43" s="220">
        <v>0</v>
      </c>
      <c r="D43" s="220">
        <v>0</v>
      </c>
      <c r="E43" s="220">
        <v>0</v>
      </c>
      <c r="F43" s="220">
        <v>0</v>
      </c>
      <c r="G43" s="250">
        <v>0</v>
      </c>
      <c r="H43" s="222">
        <v>0</v>
      </c>
      <c r="I43" s="222">
        <v>0</v>
      </c>
      <c r="J43" s="220">
        <v>0</v>
      </c>
      <c r="K43" s="220">
        <v>0</v>
      </c>
      <c r="L43" s="220">
        <v>0</v>
      </c>
      <c r="M43" s="220">
        <v>0</v>
      </c>
      <c r="N43" s="220">
        <v>0</v>
      </c>
      <c r="O43" s="220">
        <v>0</v>
      </c>
      <c r="P43" s="220">
        <v>0</v>
      </c>
    </row>
    <row r="44" spans="1:16" ht="60" x14ac:dyDescent="0.25">
      <c r="A44" s="5">
        <v>40</v>
      </c>
      <c r="B44" s="246" t="s">
        <v>19</v>
      </c>
      <c r="C44" s="220">
        <v>67</v>
      </c>
      <c r="D44" s="220">
        <v>0</v>
      </c>
      <c r="E44" s="220">
        <v>0</v>
      </c>
      <c r="F44" s="220">
        <v>0</v>
      </c>
      <c r="G44" s="250">
        <v>0</v>
      </c>
      <c r="H44" s="222">
        <v>0</v>
      </c>
      <c r="I44" s="222">
        <v>0</v>
      </c>
      <c r="J44" s="220">
        <v>2</v>
      </c>
      <c r="K44" s="220">
        <v>2</v>
      </c>
      <c r="L44" s="220">
        <v>15</v>
      </c>
      <c r="M44" s="220">
        <v>5</v>
      </c>
      <c r="N44" s="220">
        <v>38</v>
      </c>
      <c r="O44" s="220">
        <v>15</v>
      </c>
      <c r="P44" s="220">
        <v>0</v>
      </c>
    </row>
    <row r="45" spans="1:16" ht="75" x14ac:dyDescent="0.25">
      <c r="A45" s="5">
        <v>41</v>
      </c>
      <c r="B45" s="246" t="s">
        <v>171</v>
      </c>
      <c r="C45" s="220">
        <v>64</v>
      </c>
      <c r="D45" s="220">
        <v>0</v>
      </c>
      <c r="E45" s="220">
        <v>0</v>
      </c>
      <c r="F45" s="220">
        <v>0</v>
      </c>
      <c r="G45" s="250">
        <v>0</v>
      </c>
      <c r="H45" s="222">
        <v>0</v>
      </c>
      <c r="I45" s="222">
        <v>0</v>
      </c>
      <c r="J45" s="220">
        <v>2</v>
      </c>
      <c r="K45" s="220">
        <v>2</v>
      </c>
      <c r="L45" s="220">
        <v>15</v>
      </c>
      <c r="M45" s="220">
        <v>15</v>
      </c>
      <c r="N45" s="220">
        <v>30</v>
      </c>
      <c r="O45" s="220">
        <v>30</v>
      </c>
      <c r="P45" s="220">
        <v>0</v>
      </c>
    </row>
    <row r="46" spans="1:16" ht="75" x14ac:dyDescent="0.25">
      <c r="A46" s="5">
        <v>42</v>
      </c>
      <c r="B46" s="246" t="s">
        <v>172</v>
      </c>
      <c r="C46" s="220">
        <v>0</v>
      </c>
      <c r="D46" s="220">
        <v>0</v>
      </c>
      <c r="E46" s="220">
        <v>0</v>
      </c>
      <c r="F46" s="220">
        <v>0</v>
      </c>
      <c r="G46" s="250">
        <v>0</v>
      </c>
      <c r="H46" s="222">
        <v>0</v>
      </c>
      <c r="I46" s="222">
        <v>0</v>
      </c>
      <c r="J46" s="220">
        <v>2</v>
      </c>
      <c r="K46" s="220">
        <v>0</v>
      </c>
      <c r="L46" s="220">
        <v>15</v>
      </c>
      <c r="M46" s="220">
        <v>0</v>
      </c>
      <c r="N46" s="220">
        <v>60</v>
      </c>
      <c r="O46" s="220">
        <v>0</v>
      </c>
      <c r="P46" s="220">
        <v>0</v>
      </c>
    </row>
    <row r="47" spans="1:16" ht="60" x14ac:dyDescent="0.25">
      <c r="A47" s="5">
        <v>43</v>
      </c>
      <c r="B47" s="246" t="s">
        <v>43</v>
      </c>
      <c r="C47" s="220">
        <v>47</v>
      </c>
      <c r="D47" s="220">
        <v>0</v>
      </c>
      <c r="E47" s="220">
        <v>0</v>
      </c>
      <c r="F47" s="220">
        <v>0</v>
      </c>
      <c r="G47" s="250">
        <v>0</v>
      </c>
      <c r="H47" s="222">
        <v>0</v>
      </c>
      <c r="I47" s="222">
        <v>0</v>
      </c>
      <c r="J47" s="220">
        <v>2</v>
      </c>
      <c r="K47" s="220">
        <v>2</v>
      </c>
      <c r="L47" s="220">
        <v>15</v>
      </c>
      <c r="M47" s="220">
        <v>5</v>
      </c>
      <c r="N47" s="220">
        <v>30</v>
      </c>
      <c r="O47" s="220">
        <v>30</v>
      </c>
      <c r="P47" s="220">
        <v>0</v>
      </c>
    </row>
    <row r="48" spans="1:16" ht="60" x14ac:dyDescent="0.25">
      <c r="A48" s="5">
        <v>44</v>
      </c>
      <c r="B48" s="246" t="s">
        <v>22</v>
      </c>
      <c r="C48" s="220">
        <v>0</v>
      </c>
      <c r="D48" s="220">
        <v>0</v>
      </c>
      <c r="E48" s="220">
        <v>0</v>
      </c>
      <c r="F48" s="220">
        <v>0</v>
      </c>
      <c r="G48" s="250">
        <v>0</v>
      </c>
      <c r="H48" s="222">
        <v>0</v>
      </c>
      <c r="I48" s="222">
        <v>0</v>
      </c>
      <c r="J48" s="220">
        <v>2</v>
      </c>
      <c r="K48" s="220">
        <v>0</v>
      </c>
      <c r="L48" s="220">
        <v>15</v>
      </c>
      <c r="M48" s="220">
        <v>15</v>
      </c>
      <c r="N48" s="220">
        <v>30</v>
      </c>
      <c r="O48" s="220">
        <v>30</v>
      </c>
      <c r="P48" s="220">
        <v>0</v>
      </c>
    </row>
    <row r="49" spans="1:16" ht="45" x14ac:dyDescent="0.25">
      <c r="A49" s="5">
        <v>45</v>
      </c>
      <c r="B49" s="246" t="s">
        <v>44</v>
      </c>
      <c r="C49" s="220">
        <v>11</v>
      </c>
      <c r="D49" s="220">
        <v>0</v>
      </c>
      <c r="E49" s="220">
        <v>0</v>
      </c>
      <c r="F49" s="220">
        <v>0</v>
      </c>
      <c r="G49" s="250">
        <v>0</v>
      </c>
      <c r="H49" s="222">
        <v>0</v>
      </c>
      <c r="I49" s="222">
        <v>0</v>
      </c>
      <c r="J49" s="220">
        <v>2</v>
      </c>
      <c r="K49" s="220">
        <v>2</v>
      </c>
      <c r="L49" s="220">
        <v>15</v>
      </c>
      <c r="M49" s="220">
        <v>9</v>
      </c>
      <c r="N49" s="220">
        <v>30</v>
      </c>
      <c r="O49" s="220">
        <v>30</v>
      </c>
      <c r="P49" s="220">
        <v>0</v>
      </c>
    </row>
    <row r="50" spans="1:16" ht="105" x14ac:dyDescent="0.25">
      <c r="A50" s="5">
        <v>46</v>
      </c>
      <c r="B50" s="246" t="s">
        <v>40</v>
      </c>
      <c r="C50" s="220">
        <v>0</v>
      </c>
      <c r="D50" s="220">
        <v>0</v>
      </c>
      <c r="E50" s="220">
        <v>0</v>
      </c>
      <c r="F50" s="220">
        <v>0</v>
      </c>
      <c r="G50" s="250">
        <v>0</v>
      </c>
      <c r="H50" s="222">
        <v>0</v>
      </c>
      <c r="I50" s="222">
        <v>0</v>
      </c>
      <c r="J50" s="220">
        <v>2</v>
      </c>
      <c r="K50" s="220">
        <v>0</v>
      </c>
      <c r="L50" s="220">
        <v>15</v>
      </c>
      <c r="M50" s="220">
        <v>0</v>
      </c>
      <c r="N50" s="220">
        <v>30</v>
      </c>
      <c r="O50" s="220">
        <v>0</v>
      </c>
      <c r="P50" s="220">
        <v>0</v>
      </c>
    </row>
    <row r="51" spans="1:16" ht="60" x14ac:dyDescent="0.25">
      <c r="A51" s="5">
        <v>47</v>
      </c>
      <c r="B51" s="246" t="s">
        <v>29</v>
      </c>
      <c r="C51" s="220">
        <v>8</v>
      </c>
      <c r="D51" s="220">
        <v>0</v>
      </c>
      <c r="E51" s="220">
        <v>0</v>
      </c>
      <c r="F51" s="220">
        <v>0</v>
      </c>
      <c r="G51" s="250">
        <v>0</v>
      </c>
      <c r="H51" s="222">
        <v>0</v>
      </c>
      <c r="I51" s="222">
        <v>0</v>
      </c>
      <c r="J51" s="220">
        <v>2</v>
      </c>
      <c r="K51" s="220">
        <v>2</v>
      </c>
      <c r="L51" s="220">
        <v>15</v>
      </c>
      <c r="M51" s="220">
        <v>13</v>
      </c>
      <c r="N51" s="220">
        <v>10</v>
      </c>
      <c r="O51" s="220">
        <v>10</v>
      </c>
      <c r="P51" s="220">
        <v>0</v>
      </c>
    </row>
    <row r="52" spans="1:16" ht="75" x14ac:dyDescent="0.25">
      <c r="A52" s="5">
        <v>48</v>
      </c>
      <c r="B52" s="246" t="s">
        <v>26</v>
      </c>
      <c r="C52" s="220">
        <v>19</v>
      </c>
      <c r="D52" s="220">
        <v>0</v>
      </c>
      <c r="E52" s="220">
        <v>0</v>
      </c>
      <c r="F52" s="220">
        <v>0</v>
      </c>
      <c r="G52" s="250">
        <v>0</v>
      </c>
      <c r="H52" s="222">
        <v>0</v>
      </c>
      <c r="I52" s="222">
        <v>0</v>
      </c>
      <c r="J52" s="220">
        <v>2</v>
      </c>
      <c r="K52" s="220">
        <v>2</v>
      </c>
      <c r="L52" s="220">
        <v>15</v>
      </c>
      <c r="M52" s="220">
        <v>3</v>
      </c>
      <c r="N52" s="220">
        <v>45</v>
      </c>
      <c r="O52" s="220">
        <v>30</v>
      </c>
      <c r="P52" s="220">
        <v>0</v>
      </c>
    </row>
    <row r="53" spans="1:16" ht="45" x14ac:dyDescent="0.25">
      <c r="A53" s="5">
        <v>49</v>
      </c>
      <c r="B53" s="246" t="s">
        <v>62</v>
      </c>
      <c r="C53" s="220">
        <v>3</v>
      </c>
      <c r="D53" s="220">
        <v>0</v>
      </c>
      <c r="E53" s="220">
        <v>0</v>
      </c>
      <c r="F53" s="220">
        <v>0</v>
      </c>
      <c r="G53" s="250">
        <v>0</v>
      </c>
      <c r="H53" s="222">
        <v>0</v>
      </c>
      <c r="I53" s="222">
        <v>0</v>
      </c>
      <c r="J53" s="220">
        <v>1</v>
      </c>
      <c r="K53" s="220">
        <v>1</v>
      </c>
      <c r="L53" s="220">
        <v>15</v>
      </c>
      <c r="M53" s="220">
        <v>14</v>
      </c>
      <c r="N53" s="220">
        <v>10</v>
      </c>
      <c r="O53" s="220">
        <v>9</v>
      </c>
      <c r="P53" s="220">
        <v>0</v>
      </c>
    </row>
    <row r="54" spans="1:16" ht="60" x14ac:dyDescent="0.25">
      <c r="A54" s="5">
        <v>50</v>
      </c>
      <c r="B54" s="246" t="s">
        <v>173</v>
      </c>
      <c r="C54" s="220">
        <v>0</v>
      </c>
      <c r="D54" s="220">
        <v>0</v>
      </c>
      <c r="E54" s="220">
        <v>0</v>
      </c>
      <c r="F54" s="220">
        <v>0</v>
      </c>
      <c r="G54" s="250">
        <v>0</v>
      </c>
      <c r="H54" s="222">
        <v>0</v>
      </c>
      <c r="I54" s="222">
        <v>0</v>
      </c>
      <c r="J54" s="220">
        <v>2</v>
      </c>
      <c r="K54" s="220">
        <v>2</v>
      </c>
      <c r="L54" s="220">
        <v>15</v>
      </c>
      <c r="M54" s="220">
        <v>14</v>
      </c>
      <c r="N54" s="220">
        <v>30</v>
      </c>
      <c r="O54" s="220">
        <v>30</v>
      </c>
      <c r="P54" s="220">
        <v>0</v>
      </c>
    </row>
    <row r="55" spans="1:16" ht="60" x14ac:dyDescent="0.25">
      <c r="A55" s="5">
        <v>51</v>
      </c>
      <c r="B55" s="246" t="s">
        <v>174</v>
      </c>
      <c r="C55" s="220">
        <v>152</v>
      </c>
      <c r="D55" s="220">
        <v>0</v>
      </c>
      <c r="E55" s="220">
        <v>0</v>
      </c>
      <c r="F55" s="220">
        <v>0</v>
      </c>
      <c r="G55" s="250">
        <v>0</v>
      </c>
      <c r="H55" s="222">
        <v>0</v>
      </c>
      <c r="I55" s="222">
        <v>0</v>
      </c>
      <c r="J55" s="220">
        <v>2</v>
      </c>
      <c r="K55" s="220">
        <v>2</v>
      </c>
      <c r="L55" s="220">
        <v>15</v>
      </c>
      <c r="M55" s="220">
        <v>15</v>
      </c>
      <c r="N55" s="220">
        <v>27</v>
      </c>
      <c r="O55" s="220">
        <v>27</v>
      </c>
      <c r="P55" s="220">
        <v>0</v>
      </c>
    </row>
    <row r="56" spans="1:16" ht="120" x14ac:dyDescent="0.25">
      <c r="A56" s="5">
        <v>52</v>
      </c>
      <c r="B56" s="246" t="s">
        <v>36</v>
      </c>
      <c r="C56" s="220">
        <v>0</v>
      </c>
      <c r="D56" s="220">
        <v>0</v>
      </c>
      <c r="E56" s="220">
        <v>0</v>
      </c>
      <c r="F56" s="220">
        <v>0</v>
      </c>
      <c r="G56" s="250">
        <v>0</v>
      </c>
      <c r="H56" s="222">
        <v>0</v>
      </c>
      <c r="I56" s="222">
        <v>0</v>
      </c>
      <c r="J56" s="220">
        <v>2</v>
      </c>
      <c r="K56" s="220">
        <v>0</v>
      </c>
      <c r="L56" s="220">
        <v>15</v>
      </c>
      <c r="M56" s="220">
        <v>0</v>
      </c>
      <c r="N56" s="220">
        <v>98</v>
      </c>
      <c r="O56" s="220">
        <v>0</v>
      </c>
      <c r="P56" s="220">
        <v>0</v>
      </c>
    </row>
    <row r="57" spans="1:16" ht="45" x14ac:dyDescent="0.25">
      <c r="A57" s="5">
        <v>53</v>
      </c>
      <c r="B57" s="246" t="s">
        <v>50</v>
      </c>
      <c r="C57" s="220">
        <v>10</v>
      </c>
      <c r="D57" s="220">
        <v>0</v>
      </c>
      <c r="E57" s="220">
        <v>0</v>
      </c>
      <c r="F57" s="220">
        <v>0</v>
      </c>
      <c r="G57" s="250">
        <v>0</v>
      </c>
      <c r="H57" s="222">
        <v>0</v>
      </c>
      <c r="I57" s="222">
        <v>0</v>
      </c>
      <c r="J57" s="220">
        <v>2</v>
      </c>
      <c r="K57" s="220">
        <v>1</v>
      </c>
      <c r="L57" s="220">
        <v>15</v>
      </c>
      <c r="M57" s="220">
        <v>8</v>
      </c>
      <c r="N57" s="220">
        <v>1</v>
      </c>
      <c r="O57" s="220">
        <v>1</v>
      </c>
      <c r="P57" s="220">
        <v>0</v>
      </c>
    </row>
    <row r="58" spans="1:16" ht="75" x14ac:dyDescent="0.25">
      <c r="A58" s="5">
        <v>54</v>
      </c>
      <c r="B58" s="246" t="s">
        <v>59</v>
      </c>
      <c r="C58" s="224">
        <v>0</v>
      </c>
      <c r="D58" s="224">
        <v>0</v>
      </c>
      <c r="E58" s="224">
        <v>0</v>
      </c>
      <c r="F58" s="224">
        <v>0</v>
      </c>
      <c r="G58" s="225">
        <v>0</v>
      </c>
      <c r="H58" s="222">
        <v>0</v>
      </c>
      <c r="I58" s="222">
        <v>0</v>
      </c>
      <c r="J58" s="220">
        <v>2</v>
      </c>
      <c r="K58" s="220">
        <v>0</v>
      </c>
      <c r="L58" s="220">
        <v>15</v>
      </c>
      <c r="M58" s="220">
        <v>0</v>
      </c>
      <c r="N58" s="220">
        <v>7</v>
      </c>
      <c r="O58" s="220">
        <v>0</v>
      </c>
      <c r="P58" s="220">
        <v>0</v>
      </c>
    </row>
    <row r="59" spans="1:16" ht="75" x14ac:dyDescent="0.25">
      <c r="A59" s="5">
        <v>55</v>
      </c>
      <c r="B59" s="246" t="s">
        <v>60</v>
      </c>
      <c r="C59" s="224">
        <v>0</v>
      </c>
      <c r="D59" s="224">
        <v>0</v>
      </c>
      <c r="E59" s="224">
        <v>0</v>
      </c>
      <c r="F59" s="224">
        <v>0</v>
      </c>
      <c r="G59" s="225">
        <v>0</v>
      </c>
      <c r="H59" s="222">
        <v>0</v>
      </c>
      <c r="I59" s="222">
        <v>0</v>
      </c>
      <c r="J59" s="220">
        <v>2</v>
      </c>
      <c r="K59" s="220">
        <v>0</v>
      </c>
      <c r="L59" s="220">
        <v>15</v>
      </c>
      <c r="M59" s="220">
        <v>0</v>
      </c>
      <c r="N59" s="220">
        <v>7</v>
      </c>
      <c r="O59" s="220">
        <v>0</v>
      </c>
      <c r="P59" s="220">
        <v>0</v>
      </c>
    </row>
    <row r="60" spans="1:16" ht="45" x14ac:dyDescent="0.25">
      <c r="A60" s="5">
        <v>56</v>
      </c>
      <c r="B60" s="246" t="s">
        <v>10</v>
      </c>
      <c r="C60" s="220">
        <v>87</v>
      </c>
      <c r="D60" s="220">
        <v>0</v>
      </c>
      <c r="E60" s="220">
        <v>0</v>
      </c>
      <c r="F60" s="220">
        <v>0</v>
      </c>
      <c r="G60" s="250">
        <v>0</v>
      </c>
      <c r="H60" s="222">
        <v>0</v>
      </c>
      <c r="I60" s="222">
        <v>0</v>
      </c>
      <c r="J60" s="220">
        <v>2</v>
      </c>
      <c r="K60" s="220">
        <v>2</v>
      </c>
      <c r="L60" s="220">
        <v>15</v>
      </c>
      <c r="M60" s="220">
        <v>2</v>
      </c>
      <c r="N60" s="220">
        <v>30</v>
      </c>
      <c r="O60" s="220">
        <v>20</v>
      </c>
      <c r="P60" s="220">
        <v>0</v>
      </c>
    </row>
    <row r="61" spans="1:16" ht="60" x14ac:dyDescent="0.25">
      <c r="A61" s="5">
        <v>57</v>
      </c>
      <c r="B61" s="246" t="s">
        <v>46</v>
      </c>
      <c r="C61" s="220">
        <v>17</v>
      </c>
      <c r="D61" s="220">
        <v>0</v>
      </c>
      <c r="E61" s="220">
        <v>0</v>
      </c>
      <c r="F61" s="220">
        <v>0</v>
      </c>
      <c r="G61" s="250">
        <v>0</v>
      </c>
      <c r="H61" s="222">
        <v>0</v>
      </c>
      <c r="I61" s="222">
        <v>0</v>
      </c>
      <c r="J61" s="220">
        <v>2</v>
      </c>
      <c r="K61" s="220">
        <v>2</v>
      </c>
      <c r="L61" s="220">
        <v>15</v>
      </c>
      <c r="M61" s="220">
        <v>15</v>
      </c>
      <c r="N61" s="220">
        <v>30</v>
      </c>
      <c r="O61" s="220">
        <v>30</v>
      </c>
      <c r="P61" s="220">
        <v>0</v>
      </c>
    </row>
    <row r="62" spans="1:16" ht="45" x14ac:dyDescent="0.25">
      <c r="A62" s="5">
        <v>58</v>
      </c>
      <c r="B62" s="246" t="s">
        <v>65</v>
      </c>
      <c r="C62" s="224">
        <v>0</v>
      </c>
      <c r="D62" s="224">
        <v>0</v>
      </c>
      <c r="E62" s="224">
        <v>0</v>
      </c>
      <c r="F62" s="224">
        <v>0</v>
      </c>
      <c r="G62" s="225">
        <v>0</v>
      </c>
      <c r="H62" s="222">
        <v>0</v>
      </c>
      <c r="I62" s="222">
        <v>0</v>
      </c>
      <c r="J62" s="220">
        <v>2</v>
      </c>
      <c r="K62" s="220">
        <v>1</v>
      </c>
      <c r="L62" s="220">
        <v>15</v>
      </c>
      <c r="M62" s="220">
        <v>1</v>
      </c>
      <c r="N62" s="220">
        <v>30</v>
      </c>
      <c r="O62" s="220">
        <v>8</v>
      </c>
      <c r="P62" s="220">
        <v>0</v>
      </c>
    </row>
    <row r="63" spans="1:16" ht="45" x14ac:dyDescent="0.25">
      <c r="A63" s="5">
        <v>59</v>
      </c>
      <c r="B63" s="246" t="s">
        <v>175</v>
      </c>
      <c r="C63" s="220">
        <v>23</v>
      </c>
      <c r="D63" s="220">
        <v>0</v>
      </c>
      <c r="E63" s="220">
        <v>0</v>
      </c>
      <c r="F63" s="220">
        <v>0</v>
      </c>
      <c r="G63" s="250">
        <v>0</v>
      </c>
      <c r="H63" s="222">
        <v>0</v>
      </c>
      <c r="I63" s="222">
        <v>0</v>
      </c>
      <c r="J63" s="220">
        <v>2</v>
      </c>
      <c r="K63" s="220">
        <v>2</v>
      </c>
      <c r="L63" s="220">
        <v>15</v>
      </c>
      <c r="M63" s="220">
        <v>10</v>
      </c>
      <c r="N63" s="220">
        <v>150</v>
      </c>
      <c r="O63" s="220">
        <v>150</v>
      </c>
      <c r="P63" s="220">
        <v>0</v>
      </c>
    </row>
    <row r="64" spans="1:16" ht="75" x14ac:dyDescent="0.25">
      <c r="A64" s="5">
        <v>60</v>
      </c>
      <c r="B64" s="246" t="s">
        <v>176</v>
      </c>
      <c r="C64" s="220">
        <v>119</v>
      </c>
      <c r="D64" s="220">
        <v>18</v>
      </c>
      <c r="E64" s="220">
        <v>15.1</v>
      </c>
      <c r="F64" s="220">
        <v>2</v>
      </c>
      <c r="G64" s="250">
        <v>1.7</v>
      </c>
      <c r="H64" s="222">
        <v>0</v>
      </c>
      <c r="I64" s="222">
        <v>0</v>
      </c>
      <c r="J64" s="220">
        <v>1</v>
      </c>
      <c r="K64" s="220">
        <v>1</v>
      </c>
      <c r="L64" s="220">
        <v>15</v>
      </c>
      <c r="M64" s="220">
        <v>8</v>
      </c>
      <c r="N64" s="220">
        <v>20</v>
      </c>
      <c r="O64" s="220">
        <v>12</v>
      </c>
      <c r="P64" s="220">
        <v>0</v>
      </c>
    </row>
    <row r="65" spans="1:16" ht="120" x14ac:dyDescent="0.25">
      <c r="A65" s="5">
        <v>61</v>
      </c>
      <c r="B65" s="246" t="s">
        <v>177</v>
      </c>
      <c r="C65" s="224">
        <v>0</v>
      </c>
      <c r="D65" s="224">
        <v>0</v>
      </c>
      <c r="E65" s="224">
        <v>0</v>
      </c>
      <c r="F65" s="224">
        <v>0</v>
      </c>
      <c r="G65" s="225">
        <v>0</v>
      </c>
      <c r="H65" s="222">
        <v>0</v>
      </c>
      <c r="I65" s="222">
        <v>0</v>
      </c>
      <c r="J65" s="220">
        <v>1</v>
      </c>
      <c r="K65" s="220">
        <v>1</v>
      </c>
      <c r="L65" s="220">
        <v>8</v>
      </c>
      <c r="M65" s="220">
        <v>5</v>
      </c>
      <c r="N65" s="220">
        <v>15</v>
      </c>
      <c r="O65" s="220">
        <v>14</v>
      </c>
      <c r="P65" s="220">
        <v>0</v>
      </c>
    </row>
    <row r="66" spans="1:16" ht="105" x14ac:dyDescent="0.25">
      <c r="A66" s="5">
        <v>62</v>
      </c>
      <c r="B66" s="246" t="s">
        <v>178</v>
      </c>
      <c r="C66" s="224">
        <v>169</v>
      </c>
      <c r="D66" s="224">
        <v>10</v>
      </c>
      <c r="E66" s="224">
        <v>5.9</v>
      </c>
      <c r="F66" s="224">
        <v>3</v>
      </c>
      <c r="G66" s="225">
        <v>1.8</v>
      </c>
      <c r="H66" s="222">
        <v>0</v>
      </c>
      <c r="I66" s="222">
        <v>0</v>
      </c>
      <c r="J66" s="220">
        <v>1</v>
      </c>
      <c r="K66" s="220">
        <v>1</v>
      </c>
      <c r="L66" s="220">
        <v>15</v>
      </c>
      <c r="M66" s="220">
        <v>10</v>
      </c>
      <c r="N66" s="220">
        <v>30</v>
      </c>
      <c r="O66" s="220">
        <v>18</v>
      </c>
      <c r="P66" s="220">
        <v>0</v>
      </c>
    </row>
    <row r="67" spans="1:16" ht="150" x14ac:dyDescent="0.25">
      <c r="A67" s="5">
        <v>63</v>
      </c>
      <c r="B67" s="246" t="s">
        <v>179</v>
      </c>
      <c r="C67" s="220">
        <v>597</v>
      </c>
      <c r="D67" s="220">
        <v>0</v>
      </c>
      <c r="E67" s="220">
        <v>0</v>
      </c>
      <c r="F67" s="220">
        <v>0</v>
      </c>
      <c r="G67" s="250">
        <v>0</v>
      </c>
      <c r="H67" s="222">
        <v>0</v>
      </c>
      <c r="I67" s="222">
        <v>0</v>
      </c>
      <c r="J67" s="220">
        <v>2</v>
      </c>
      <c r="K67" s="220">
        <v>2</v>
      </c>
      <c r="L67" s="220">
        <v>15</v>
      </c>
      <c r="M67" s="220">
        <v>5</v>
      </c>
      <c r="N67" s="220">
        <v>7</v>
      </c>
      <c r="O67" s="220">
        <v>7</v>
      </c>
      <c r="P67" s="220">
        <v>0</v>
      </c>
    </row>
    <row r="68" spans="1:16" ht="180" x14ac:dyDescent="0.25">
      <c r="A68" s="5">
        <v>64</v>
      </c>
      <c r="B68" s="246" t="s">
        <v>180</v>
      </c>
      <c r="C68" s="220">
        <v>171</v>
      </c>
      <c r="D68" s="220">
        <v>0</v>
      </c>
      <c r="E68" s="220">
        <v>0</v>
      </c>
      <c r="F68" s="220">
        <v>0</v>
      </c>
      <c r="G68" s="250">
        <v>0</v>
      </c>
      <c r="H68" s="222">
        <v>0</v>
      </c>
      <c r="I68" s="222">
        <v>0</v>
      </c>
      <c r="J68" s="220">
        <v>1</v>
      </c>
      <c r="K68" s="220">
        <v>1</v>
      </c>
      <c r="L68" s="220">
        <v>8</v>
      </c>
      <c r="M68" s="220">
        <v>3</v>
      </c>
      <c r="N68" s="220">
        <v>4</v>
      </c>
      <c r="O68" s="220">
        <v>4</v>
      </c>
      <c r="P68" s="220">
        <v>0</v>
      </c>
    </row>
    <row r="69" spans="1:16" ht="195" x14ac:dyDescent="0.25">
      <c r="A69" s="5">
        <v>65</v>
      </c>
      <c r="B69" s="246" t="s">
        <v>181</v>
      </c>
      <c r="C69" s="220">
        <v>362</v>
      </c>
      <c r="D69" s="220">
        <v>0</v>
      </c>
      <c r="E69" s="220">
        <v>0</v>
      </c>
      <c r="F69" s="220">
        <v>0</v>
      </c>
      <c r="G69" s="250">
        <v>0</v>
      </c>
      <c r="H69" s="222">
        <v>0</v>
      </c>
      <c r="I69" s="222">
        <v>0</v>
      </c>
      <c r="J69" s="220">
        <v>0</v>
      </c>
      <c r="K69" s="220">
        <v>0</v>
      </c>
      <c r="L69" s="220">
        <v>0</v>
      </c>
      <c r="M69" s="220">
        <v>0</v>
      </c>
      <c r="N69" s="220">
        <v>0</v>
      </c>
      <c r="O69" s="220">
        <v>0</v>
      </c>
      <c r="P69" s="220">
        <v>0</v>
      </c>
    </row>
    <row r="70" spans="1:16" ht="120" x14ac:dyDescent="0.25">
      <c r="A70" s="5">
        <v>66</v>
      </c>
      <c r="B70" s="246" t="s">
        <v>182</v>
      </c>
      <c r="C70" s="220">
        <v>0</v>
      </c>
      <c r="D70" s="220">
        <v>0</v>
      </c>
      <c r="E70" s="220">
        <v>0</v>
      </c>
      <c r="F70" s="220">
        <v>0</v>
      </c>
      <c r="G70" s="250">
        <v>0</v>
      </c>
      <c r="H70" s="222">
        <v>0</v>
      </c>
      <c r="I70" s="222">
        <v>0</v>
      </c>
      <c r="J70" s="220">
        <v>1</v>
      </c>
      <c r="K70" s="220">
        <v>1</v>
      </c>
      <c r="L70" s="220">
        <v>4</v>
      </c>
      <c r="M70" s="220">
        <v>1</v>
      </c>
      <c r="N70" s="220">
        <v>11</v>
      </c>
      <c r="O70" s="220">
        <v>4</v>
      </c>
      <c r="P70" s="220">
        <v>0</v>
      </c>
    </row>
    <row r="71" spans="1:16" ht="105" x14ac:dyDescent="0.25">
      <c r="A71" s="5">
        <v>67</v>
      </c>
      <c r="B71" s="246" t="s">
        <v>183</v>
      </c>
      <c r="C71" s="220">
        <v>0</v>
      </c>
      <c r="D71" s="220">
        <v>0</v>
      </c>
      <c r="E71" s="220">
        <v>0</v>
      </c>
      <c r="F71" s="220">
        <v>0</v>
      </c>
      <c r="G71" s="250">
        <v>0</v>
      </c>
      <c r="H71" s="222">
        <v>0</v>
      </c>
      <c r="I71" s="222">
        <v>0</v>
      </c>
      <c r="J71" s="220">
        <v>0</v>
      </c>
      <c r="K71" s="220">
        <v>0</v>
      </c>
      <c r="L71" s="220">
        <v>0</v>
      </c>
      <c r="M71" s="220">
        <v>0</v>
      </c>
      <c r="N71" s="220">
        <v>0</v>
      </c>
      <c r="O71" s="220">
        <v>0</v>
      </c>
      <c r="P71" s="220">
        <v>0</v>
      </c>
    </row>
    <row r="72" spans="1:16" ht="135" x14ac:dyDescent="0.25">
      <c r="A72" s="5">
        <v>68</v>
      </c>
      <c r="B72" s="247" t="s">
        <v>184</v>
      </c>
      <c r="C72" s="220">
        <v>0</v>
      </c>
      <c r="D72" s="220">
        <v>0</v>
      </c>
      <c r="E72" s="220">
        <v>0</v>
      </c>
      <c r="F72" s="220">
        <v>0</v>
      </c>
      <c r="G72" s="250">
        <v>0</v>
      </c>
      <c r="H72" s="222">
        <v>1</v>
      </c>
      <c r="I72" s="222">
        <v>1</v>
      </c>
      <c r="J72" s="220">
        <v>1</v>
      </c>
      <c r="K72" s="220">
        <v>1</v>
      </c>
      <c r="L72" s="220">
        <v>8</v>
      </c>
      <c r="M72" s="220">
        <v>3</v>
      </c>
      <c r="N72" s="220">
        <v>23</v>
      </c>
      <c r="O72" s="220">
        <v>15</v>
      </c>
      <c r="P72" s="220">
        <v>0</v>
      </c>
    </row>
    <row r="73" spans="1:16" ht="90" x14ac:dyDescent="0.25">
      <c r="A73" s="5">
        <v>69</v>
      </c>
      <c r="B73" s="246" t="s">
        <v>185</v>
      </c>
      <c r="C73" s="220">
        <v>46</v>
      </c>
      <c r="D73" s="220">
        <v>0</v>
      </c>
      <c r="E73" s="220">
        <v>0</v>
      </c>
      <c r="F73" s="220">
        <v>0</v>
      </c>
      <c r="G73" s="250">
        <v>0</v>
      </c>
      <c r="H73" s="222">
        <v>0</v>
      </c>
      <c r="I73" s="222">
        <v>0</v>
      </c>
      <c r="J73" s="220">
        <v>2</v>
      </c>
      <c r="K73" s="220">
        <v>2</v>
      </c>
      <c r="L73" s="220">
        <v>15</v>
      </c>
      <c r="M73" s="220">
        <v>5</v>
      </c>
      <c r="N73" s="220">
        <v>60</v>
      </c>
      <c r="O73" s="220">
        <v>60</v>
      </c>
      <c r="P73" s="220">
        <v>0</v>
      </c>
    </row>
    <row r="74" spans="1:16" ht="60" x14ac:dyDescent="0.25">
      <c r="A74" s="5">
        <v>70</v>
      </c>
      <c r="B74" s="246" t="s">
        <v>186</v>
      </c>
      <c r="C74" s="220">
        <v>10</v>
      </c>
      <c r="D74" s="220">
        <v>0</v>
      </c>
      <c r="E74" s="220">
        <v>0</v>
      </c>
      <c r="F74" s="220">
        <v>0</v>
      </c>
      <c r="G74" s="250">
        <v>0</v>
      </c>
      <c r="H74" s="222">
        <v>0</v>
      </c>
      <c r="I74" s="222">
        <v>0</v>
      </c>
      <c r="J74" s="220">
        <v>2</v>
      </c>
      <c r="K74" s="220">
        <v>2</v>
      </c>
      <c r="L74" s="220">
        <v>15</v>
      </c>
      <c r="M74" s="220">
        <v>5</v>
      </c>
      <c r="N74" s="220">
        <v>30</v>
      </c>
      <c r="O74" s="220">
        <v>30</v>
      </c>
      <c r="P74" s="220">
        <v>0</v>
      </c>
    </row>
    <row r="75" spans="1:16" ht="75" x14ac:dyDescent="0.25">
      <c r="A75" s="5">
        <v>71</v>
      </c>
      <c r="B75" s="246" t="s">
        <v>187</v>
      </c>
      <c r="C75" s="220">
        <v>0</v>
      </c>
      <c r="D75" s="220">
        <v>0</v>
      </c>
      <c r="E75" s="220">
        <v>0</v>
      </c>
      <c r="F75" s="220">
        <v>0</v>
      </c>
      <c r="G75" s="250">
        <v>0</v>
      </c>
      <c r="H75" s="222">
        <v>0</v>
      </c>
      <c r="I75" s="222">
        <v>0</v>
      </c>
      <c r="J75" s="220">
        <v>2</v>
      </c>
      <c r="K75" s="220">
        <v>1</v>
      </c>
      <c r="L75" s="220">
        <v>15</v>
      </c>
      <c r="M75" s="220">
        <v>4</v>
      </c>
      <c r="N75" s="220">
        <v>30</v>
      </c>
      <c r="O75" s="220">
        <v>8</v>
      </c>
      <c r="P75" s="220">
        <v>0</v>
      </c>
    </row>
    <row r="76" spans="1:16" ht="300" x14ac:dyDescent="0.25">
      <c r="A76" s="5">
        <v>72</v>
      </c>
      <c r="B76" s="246" t="s">
        <v>188</v>
      </c>
      <c r="C76" s="220">
        <v>6</v>
      </c>
      <c r="D76" s="220">
        <v>0</v>
      </c>
      <c r="E76" s="220">
        <v>0</v>
      </c>
      <c r="F76" s="220">
        <v>0</v>
      </c>
      <c r="G76" s="250">
        <v>0</v>
      </c>
      <c r="H76" s="222">
        <v>0</v>
      </c>
      <c r="I76" s="222">
        <v>0</v>
      </c>
      <c r="J76" s="220">
        <v>2</v>
      </c>
      <c r="K76" s="220">
        <v>2</v>
      </c>
      <c r="L76" s="220">
        <v>15</v>
      </c>
      <c r="M76" s="220">
        <v>11</v>
      </c>
      <c r="N76" s="220">
        <v>30</v>
      </c>
      <c r="O76" s="220">
        <v>23</v>
      </c>
      <c r="P76" s="220">
        <v>0</v>
      </c>
    </row>
    <row r="77" spans="1:16" ht="75" x14ac:dyDescent="0.25">
      <c r="A77" s="5">
        <v>73</v>
      </c>
      <c r="B77" s="246" t="s">
        <v>189</v>
      </c>
      <c r="C77" s="220">
        <v>73</v>
      </c>
      <c r="D77" s="220">
        <v>0</v>
      </c>
      <c r="E77" s="220">
        <v>0</v>
      </c>
      <c r="F77" s="220">
        <v>0</v>
      </c>
      <c r="G77" s="250">
        <v>0</v>
      </c>
      <c r="H77" s="222">
        <v>0</v>
      </c>
      <c r="I77" s="222">
        <v>0</v>
      </c>
      <c r="J77" s="220">
        <v>2</v>
      </c>
      <c r="K77" s="220">
        <v>2</v>
      </c>
      <c r="L77" s="220">
        <v>15</v>
      </c>
      <c r="M77" s="220">
        <v>5</v>
      </c>
      <c r="N77" s="220">
        <v>9</v>
      </c>
      <c r="O77" s="220">
        <v>5</v>
      </c>
      <c r="P77" s="220">
        <v>0</v>
      </c>
    </row>
    <row r="78" spans="1:16" ht="105" x14ac:dyDescent="0.25">
      <c r="A78" s="5">
        <v>74</v>
      </c>
      <c r="B78" s="246" t="s">
        <v>190</v>
      </c>
      <c r="C78" s="220">
        <v>19</v>
      </c>
      <c r="D78" s="220">
        <v>19</v>
      </c>
      <c r="E78" s="220">
        <v>100</v>
      </c>
      <c r="F78" s="220">
        <v>0</v>
      </c>
      <c r="G78" s="250">
        <v>0</v>
      </c>
      <c r="H78" s="222">
        <v>0</v>
      </c>
      <c r="I78" s="222">
        <v>0</v>
      </c>
      <c r="J78" s="220">
        <v>2</v>
      </c>
      <c r="K78" s="220">
        <v>2</v>
      </c>
      <c r="L78" s="220">
        <v>15</v>
      </c>
      <c r="M78" s="220">
        <v>8</v>
      </c>
      <c r="N78" s="220">
        <v>30</v>
      </c>
      <c r="O78" s="220">
        <v>23</v>
      </c>
      <c r="P78" s="220">
        <v>0</v>
      </c>
    </row>
    <row r="79" spans="1:16" ht="90" x14ac:dyDescent="0.25">
      <c r="A79" s="5">
        <v>75</v>
      </c>
      <c r="B79" s="246" t="s">
        <v>191</v>
      </c>
      <c r="C79" s="220">
        <v>5</v>
      </c>
      <c r="D79" s="220">
        <v>0</v>
      </c>
      <c r="E79" s="220">
        <v>0</v>
      </c>
      <c r="F79" s="220">
        <v>0</v>
      </c>
      <c r="G79" s="250">
        <v>0</v>
      </c>
      <c r="H79" s="222">
        <v>0</v>
      </c>
      <c r="I79" s="222">
        <v>0</v>
      </c>
      <c r="J79" s="220">
        <v>1</v>
      </c>
      <c r="K79" s="220">
        <v>1</v>
      </c>
      <c r="L79" s="220">
        <v>15</v>
      </c>
      <c r="M79" s="220">
        <v>5</v>
      </c>
      <c r="N79" s="220">
        <v>90</v>
      </c>
      <c r="O79" s="220">
        <v>90</v>
      </c>
      <c r="P79" s="220">
        <v>0</v>
      </c>
    </row>
    <row r="80" spans="1:16" ht="105" x14ac:dyDescent="0.25">
      <c r="A80" s="5">
        <v>76</v>
      </c>
      <c r="B80" s="246" t="s">
        <v>192</v>
      </c>
      <c r="C80" s="220">
        <v>14</v>
      </c>
      <c r="D80" s="220">
        <v>0</v>
      </c>
      <c r="E80" s="220">
        <v>0</v>
      </c>
      <c r="F80" s="220">
        <v>0</v>
      </c>
      <c r="G80" s="250">
        <v>0</v>
      </c>
      <c r="H80" s="222">
        <v>0</v>
      </c>
      <c r="I80" s="222">
        <v>0</v>
      </c>
      <c r="J80" s="220">
        <v>2</v>
      </c>
      <c r="K80" s="220">
        <v>0</v>
      </c>
      <c r="L80" s="220">
        <v>15</v>
      </c>
      <c r="M80" s="220">
        <v>0</v>
      </c>
      <c r="N80" s="220">
        <v>30</v>
      </c>
      <c r="O80" s="220">
        <v>0</v>
      </c>
      <c r="P80" s="220">
        <v>0</v>
      </c>
    </row>
    <row r="81" spans="1:16" ht="135" x14ac:dyDescent="0.25">
      <c r="A81" s="5">
        <v>77</v>
      </c>
      <c r="B81" s="246" t="s">
        <v>193</v>
      </c>
      <c r="C81" s="220">
        <v>0</v>
      </c>
      <c r="D81" s="220">
        <v>0</v>
      </c>
      <c r="E81" s="220">
        <v>0</v>
      </c>
      <c r="F81" s="220">
        <v>0</v>
      </c>
      <c r="G81" s="250">
        <v>0</v>
      </c>
      <c r="H81" s="222">
        <v>0</v>
      </c>
      <c r="I81" s="222">
        <v>0</v>
      </c>
      <c r="J81" s="220">
        <v>1</v>
      </c>
      <c r="K81" s="220">
        <v>1</v>
      </c>
      <c r="L81" s="220">
        <v>15</v>
      </c>
      <c r="M81" s="220">
        <v>5</v>
      </c>
      <c r="N81" s="220">
        <v>20</v>
      </c>
      <c r="O81" s="220">
        <v>20</v>
      </c>
      <c r="P81" s="220">
        <v>0</v>
      </c>
    </row>
    <row r="82" spans="1:16" ht="150" x14ac:dyDescent="0.25">
      <c r="A82" s="5">
        <v>78</v>
      </c>
      <c r="B82" s="246" t="s">
        <v>194</v>
      </c>
      <c r="C82" s="220">
        <v>14465</v>
      </c>
      <c r="D82" s="220">
        <v>0</v>
      </c>
      <c r="E82" s="220">
        <v>0</v>
      </c>
      <c r="F82" s="220">
        <v>12734</v>
      </c>
      <c r="G82" s="250">
        <v>88</v>
      </c>
      <c r="H82" s="222">
        <v>0</v>
      </c>
      <c r="I82" s="222">
        <v>0</v>
      </c>
      <c r="J82" s="220">
        <v>2</v>
      </c>
      <c r="K82" s="220">
        <v>1</v>
      </c>
      <c r="L82" s="220">
        <v>15</v>
      </c>
      <c r="M82" s="220">
        <v>3</v>
      </c>
      <c r="N82" s="220">
        <v>1</v>
      </c>
      <c r="O82" s="220">
        <v>1</v>
      </c>
      <c r="P82" s="220">
        <v>0</v>
      </c>
    </row>
    <row r="83" spans="1:16" ht="75" x14ac:dyDescent="0.25">
      <c r="A83" s="5">
        <v>79</v>
      </c>
      <c r="B83" s="246" t="s">
        <v>195</v>
      </c>
      <c r="C83" s="220">
        <v>98</v>
      </c>
      <c r="D83" s="220">
        <v>0</v>
      </c>
      <c r="E83" s="220">
        <v>0</v>
      </c>
      <c r="F83" s="220">
        <v>66</v>
      </c>
      <c r="G83" s="250">
        <v>67.3</v>
      </c>
      <c r="H83" s="226">
        <v>0</v>
      </c>
      <c r="I83" s="220">
        <v>0</v>
      </c>
      <c r="J83" s="220">
        <v>2</v>
      </c>
      <c r="K83" s="220">
        <v>1</v>
      </c>
      <c r="L83" s="220">
        <v>15</v>
      </c>
      <c r="M83" s="220">
        <v>2</v>
      </c>
      <c r="N83" s="220">
        <v>1</v>
      </c>
      <c r="O83" s="220">
        <v>1</v>
      </c>
      <c r="P83" s="220">
        <v>0</v>
      </c>
    </row>
    <row r="84" spans="1:16" ht="60" x14ac:dyDescent="0.25">
      <c r="A84" s="5">
        <v>80</v>
      </c>
      <c r="B84" s="246" t="s">
        <v>196</v>
      </c>
      <c r="C84" s="220">
        <v>0</v>
      </c>
      <c r="D84" s="220"/>
      <c r="E84" s="220"/>
      <c r="F84" s="220"/>
      <c r="H84" s="222">
        <v>0</v>
      </c>
      <c r="I84" s="222">
        <v>0</v>
      </c>
      <c r="J84" s="220">
        <v>1</v>
      </c>
      <c r="K84" s="220">
        <v>0</v>
      </c>
      <c r="L84" s="220">
        <v>15</v>
      </c>
      <c r="M84" s="220">
        <v>0</v>
      </c>
      <c r="N84" s="220">
        <v>15</v>
      </c>
      <c r="O84" s="220">
        <v>0</v>
      </c>
      <c r="P84" s="220">
        <v>0</v>
      </c>
    </row>
    <row r="85" spans="1:16" ht="75" x14ac:dyDescent="0.25">
      <c r="A85" s="5">
        <v>81</v>
      </c>
      <c r="B85" s="246" t="s">
        <v>197</v>
      </c>
      <c r="C85" s="220">
        <v>1436</v>
      </c>
      <c r="D85" s="220">
        <v>27</v>
      </c>
      <c r="E85" s="220">
        <v>1.9</v>
      </c>
      <c r="F85" s="220">
        <v>475</v>
      </c>
      <c r="G85" s="250">
        <v>33.1</v>
      </c>
      <c r="H85" s="222">
        <v>0</v>
      </c>
      <c r="I85" s="222">
        <v>0</v>
      </c>
      <c r="J85" s="220">
        <v>1</v>
      </c>
      <c r="K85" s="220">
        <v>1</v>
      </c>
      <c r="L85" s="220">
        <v>15</v>
      </c>
      <c r="M85" s="220">
        <v>13</v>
      </c>
      <c r="N85" s="220">
        <v>19</v>
      </c>
      <c r="O85" s="220">
        <v>11</v>
      </c>
      <c r="P85" s="220">
        <v>0</v>
      </c>
    </row>
    <row r="86" spans="1:16" ht="105" x14ac:dyDescent="0.25">
      <c r="A86" s="5">
        <v>82</v>
      </c>
      <c r="B86" s="246" t="s">
        <v>198</v>
      </c>
      <c r="C86" s="220">
        <v>360</v>
      </c>
      <c r="D86" s="220">
        <v>0</v>
      </c>
      <c r="E86" s="220">
        <v>0</v>
      </c>
      <c r="F86" s="220">
        <v>0</v>
      </c>
      <c r="G86" s="250">
        <v>0</v>
      </c>
      <c r="H86" s="222">
        <v>0</v>
      </c>
      <c r="I86" s="222">
        <v>0</v>
      </c>
      <c r="J86" s="220">
        <v>3</v>
      </c>
      <c r="K86" s="220">
        <v>0</v>
      </c>
      <c r="L86" s="220">
        <v>15</v>
      </c>
      <c r="M86" s="220">
        <v>10</v>
      </c>
      <c r="N86" s="220">
        <v>7</v>
      </c>
      <c r="O86" s="220">
        <v>3</v>
      </c>
      <c r="P86" s="220">
        <v>0</v>
      </c>
    </row>
    <row r="87" spans="1:16" ht="90" x14ac:dyDescent="0.25">
      <c r="A87" s="5">
        <v>83</v>
      </c>
      <c r="B87" s="246" t="s">
        <v>199</v>
      </c>
      <c r="C87" s="220">
        <v>307654</v>
      </c>
      <c r="D87" s="220">
        <v>0</v>
      </c>
      <c r="E87" s="220">
        <v>0</v>
      </c>
      <c r="F87" s="220">
        <v>307654</v>
      </c>
      <c r="G87" s="250">
        <v>100</v>
      </c>
      <c r="H87" s="222">
        <v>0</v>
      </c>
      <c r="I87" s="222">
        <v>0</v>
      </c>
      <c r="J87" s="220">
        <v>2</v>
      </c>
      <c r="K87" s="220">
        <v>0</v>
      </c>
      <c r="L87" s="220">
        <v>15</v>
      </c>
      <c r="M87" s="220">
        <v>14</v>
      </c>
      <c r="N87" s="220">
        <v>7</v>
      </c>
      <c r="O87" s="220">
        <v>3</v>
      </c>
      <c r="P87" s="220">
        <v>0</v>
      </c>
    </row>
    <row r="88" spans="1:16" ht="135" x14ac:dyDescent="0.25">
      <c r="A88" s="5">
        <v>84</v>
      </c>
      <c r="B88" s="246" t="s">
        <v>200</v>
      </c>
      <c r="C88" s="220">
        <v>398</v>
      </c>
      <c r="D88" s="220">
        <v>0</v>
      </c>
      <c r="E88" s="220">
        <v>0</v>
      </c>
      <c r="F88" s="220">
        <v>83</v>
      </c>
      <c r="G88" s="250">
        <v>20.9</v>
      </c>
      <c r="H88" s="222">
        <v>0</v>
      </c>
      <c r="I88" s="222">
        <v>0</v>
      </c>
      <c r="J88" s="220">
        <v>2</v>
      </c>
      <c r="K88" s="220">
        <v>1</v>
      </c>
      <c r="L88" s="220">
        <v>10</v>
      </c>
      <c r="M88" s="220">
        <v>10</v>
      </c>
      <c r="N88" s="220">
        <v>30</v>
      </c>
      <c r="O88" s="220">
        <v>30</v>
      </c>
      <c r="P88" s="220">
        <v>0</v>
      </c>
    </row>
    <row r="89" spans="1:16" ht="180" x14ac:dyDescent="0.25">
      <c r="A89" s="5">
        <v>85</v>
      </c>
      <c r="B89" s="246" t="s">
        <v>201</v>
      </c>
      <c r="C89" s="220">
        <v>0</v>
      </c>
      <c r="D89" s="220">
        <v>0</v>
      </c>
      <c r="E89" s="220">
        <v>0</v>
      </c>
      <c r="F89" s="220">
        <v>0</v>
      </c>
      <c r="G89" s="250">
        <v>0</v>
      </c>
      <c r="H89" s="222">
        <v>0</v>
      </c>
      <c r="I89" s="222">
        <v>0</v>
      </c>
      <c r="J89" s="220">
        <v>2</v>
      </c>
      <c r="K89" s="220">
        <v>0</v>
      </c>
      <c r="L89" s="220">
        <v>15</v>
      </c>
      <c r="M89" s="220">
        <v>3</v>
      </c>
      <c r="N89" s="220">
        <v>30</v>
      </c>
      <c r="O89" s="220">
        <v>8</v>
      </c>
      <c r="P89" s="220">
        <v>0</v>
      </c>
    </row>
    <row r="90" spans="1:16" ht="90" x14ac:dyDescent="0.25">
      <c r="A90" s="5">
        <v>86</v>
      </c>
      <c r="B90" s="246" t="s">
        <v>202</v>
      </c>
      <c r="C90" s="220">
        <v>652</v>
      </c>
      <c r="D90" s="220">
        <v>98</v>
      </c>
      <c r="E90" s="220">
        <v>15</v>
      </c>
      <c r="F90" s="220">
        <v>0</v>
      </c>
      <c r="G90" s="250">
        <v>0</v>
      </c>
      <c r="H90" s="222">
        <v>0</v>
      </c>
      <c r="I90" s="222">
        <v>0</v>
      </c>
      <c r="J90" s="220">
        <v>2</v>
      </c>
      <c r="K90" s="220">
        <v>1</v>
      </c>
      <c r="L90" s="220">
        <v>15</v>
      </c>
      <c r="M90" s="220">
        <v>15</v>
      </c>
      <c r="N90" s="220">
        <v>7</v>
      </c>
      <c r="O90" s="220">
        <v>5</v>
      </c>
      <c r="P90" s="220">
        <v>0</v>
      </c>
    </row>
    <row r="91" spans="1:16" ht="135" x14ac:dyDescent="0.25">
      <c r="A91" s="5">
        <v>87</v>
      </c>
      <c r="B91" s="246" t="s">
        <v>203</v>
      </c>
      <c r="C91" s="220">
        <v>1197</v>
      </c>
      <c r="D91" s="220">
        <v>142</v>
      </c>
      <c r="E91" s="220">
        <v>11.9</v>
      </c>
      <c r="F91" s="220">
        <v>276</v>
      </c>
      <c r="G91" s="250">
        <v>23.1</v>
      </c>
      <c r="H91" s="222">
        <v>0</v>
      </c>
      <c r="I91" s="222">
        <v>0</v>
      </c>
      <c r="J91" s="220">
        <v>2</v>
      </c>
      <c r="K91" s="220">
        <v>4</v>
      </c>
      <c r="L91" s="220">
        <v>15</v>
      </c>
      <c r="M91" s="220">
        <v>5</v>
      </c>
      <c r="N91" s="220">
        <v>10</v>
      </c>
      <c r="O91" s="220">
        <v>10</v>
      </c>
      <c r="P91" s="220">
        <v>0</v>
      </c>
    </row>
    <row r="92" spans="1:16" x14ac:dyDescent="0.25">
      <c r="A92" s="220"/>
      <c r="B92" s="217" t="s">
        <v>211</v>
      </c>
      <c r="C92" s="258">
        <f>SUM(C5:C91)</f>
        <v>340660</v>
      </c>
      <c r="D92" s="258">
        <f t="shared" ref="D92:F92" si="0">SUM(D5:D91)</f>
        <v>3627</v>
      </c>
      <c r="E92" s="258">
        <f t="shared" si="0"/>
        <v>321.27095115681232</v>
      </c>
      <c r="F92" s="258">
        <f t="shared" si="0"/>
        <v>321326</v>
      </c>
      <c r="G92" s="258">
        <f t="shared" ref="G92" si="1">SUM(G5:G91)</f>
        <v>348.29999999999995</v>
      </c>
      <c r="H92" s="258">
        <f t="shared" ref="H92" si="2">SUM(H5:H91)</f>
        <v>11</v>
      </c>
      <c r="I92" s="258">
        <f t="shared" ref="I92" si="3">SUM(I5:I91)</f>
        <v>9</v>
      </c>
      <c r="J92" s="259">
        <f>SUM(J5:J91)/87</f>
        <v>1.735632183908046</v>
      </c>
      <c r="K92" s="259">
        <f>SUM(K5:K91)/87</f>
        <v>1.1609195402298851</v>
      </c>
      <c r="L92" s="259">
        <f>SUM(L5:L91)/87</f>
        <v>13.505747126436782</v>
      </c>
      <c r="M92" s="259">
        <f>SUM(M5:M91)/87</f>
        <v>6.2068965517241379</v>
      </c>
      <c r="N92" s="259">
        <f>SUM(N5:N91)/87</f>
        <v>26.298850574712645</v>
      </c>
      <c r="O92" s="259">
        <f>SUM(O5:O91)/87</f>
        <v>16.735632183908045</v>
      </c>
      <c r="P92" s="258">
        <f t="shared" ref="P92" si="4">SUM(P5:P91)</f>
        <v>0</v>
      </c>
    </row>
    <row r="93" spans="1:16" x14ac:dyDescent="0.25">
      <c r="G93" s="252"/>
    </row>
  </sheetData>
  <mergeCells count="13">
    <mergeCell ref="A1:P1"/>
    <mergeCell ref="D3:D4"/>
    <mergeCell ref="E3:E4"/>
    <mergeCell ref="F3:F4"/>
    <mergeCell ref="G3:G4"/>
    <mergeCell ref="B3:B4"/>
    <mergeCell ref="A3:A4"/>
    <mergeCell ref="J3:K3"/>
    <mergeCell ref="L3:M3"/>
    <mergeCell ref="N3:O3"/>
    <mergeCell ref="P3:P4"/>
    <mergeCell ref="H3:I3"/>
    <mergeCell ref="C3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Лист3</vt:lpstr>
      <vt:lpstr>Лист4</vt:lpstr>
      <vt:lpstr>Лист2</vt:lpstr>
      <vt:lpstr>Лист1</vt:lpstr>
      <vt:lpstr>Лист5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Казанцева Анастасия Аркадьев</dc:creator>
  <cp:lastModifiedBy>МартемьяноваИЛ</cp:lastModifiedBy>
  <cp:lastPrinted>2020-04-15T06:03:53Z</cp:lastPrinted>
  <dcterms:created xsi:type="dcterms:W3CDTF">2019-11-06T07:05:15Z</dcterms:created>
  <dcterms:modified xsi:type="dcterms:W3CDTF">2020-04-15T07:55:25Z</dcterms:modified>
</cp:coreProperties>
</file>